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&lt;b&gt;+700 lotes - NOVOS LOTES&lt;/b&gt; -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=HYPERLINK("https://rossileiloes.com.br/lote/detalhe/63937", "001")</f>
      </c>
      <c r="B11" s="4" t="s">
        <f>=HYPERLINK("https://rossileiloes.com.br/lote/detalhe/63937", "LOJA COMPLETA ( modelo Ateliê. Moveis de primeira qualidade) E SEMI FABRICA : 90 vestidos de alta costura ( materiais: maioria em zebeline outros em paetê, crepe , tule com peito bordado, musseline). Vestidos de alto valor comercial.")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=HYPERLINK("https://rossileiloes.com.br/lote/detalhe/60538", "002")</f>
      </c>
      <c r="B12" s="4" t="s">
        <f>=HYPERLINK("https://rossileiloes.com.br/lote/detalhe/60538", " Equipamentos odontológicos")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=HYPERLINK("https://rossileiloes.com.br/lote/detalhe/60462", "006")</f>
      </c>
      <c r="B13" s="4" t="s">
        <f>=HYPERLINK("https://rossileiloes.com.br/lote/detalhe/60462", " Broca Bosch 57cm - Sem uso")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=HYPERLINK("https://rossileiloes.com.br/lote/detalhe/60544", "012")</f>
      </c>
      <c r="B14" s="4" t="s">
        <f>=HYPERLINK("https://rossileiloes.com.br/lote/detalhe/60544", " Videogame Atari 3600 Junior - funcionando")</f>
      </c>
      <c r="C14" s="4" t="inlineStr">
        <is>
          <t>Vendido</t>
        </is>
      </c>
      <c r="D14" s="4" t="inlineStr">
        <is>
          <t>5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=HYPERLINK("https://rossileiloes.com.br/lote/detalhe/60547", "013")</f>
      </c>
      <c r="B15" s="4" t="s">
        <f>=HYPERLINK("https://rossileiloes.com.br/lote/detalhe/60547", " Imagesetter Linotronic 330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=HYPERLINK("https://rossileiloes.com.br/lote/detalhe/60537", "014")</f>
      </c>
      <c r="B16" s="4" t="s">
        <f>=HYPERLINK("https://rossileiloes.com.br/lote/detalhe/60537", " Desfibrilador Cardíaco - EMAI - Mod. DX10Plus")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=HYPERLINK("https://rossileiloes.com.br/lote/detalhe/60543", "015")</f>
      </c>
      <c r="B17" s="4" t="s">
        <f>=HYPERLINK("https://rossileiloes.com.br/lote/detalhe/60543", " Estação de tratamendo DPS 40 digital")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=HYPERLINK("https://rossileiloes.com.br/lote/detalhe/60540", "016")</f>
      </c>
      <c r="B18" s="4" t="s">
        <f>=HYPERLINK("https://rossileiloes.com.br/lote/detalhe/60540", " Geladeira Frigidere - Funcionando ( 143 x 67 x 62 cm)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=HYPERLINK("https://rossileiloes.com.br/lote/detalhe/60541", "023")</f>
      </c>
      <c r="B19" s="4" t="s">
        <f>=HYPERLINK("https://rossileiloes.com.br/lote/detalhe/60541", " Máquina de Moer carne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=HYPERLINK("https://rossileiloes.com.br/lote/detalhe/60536", "031")</f>
      </c>
      <c r="B20" s="4" t="s">
        <f>=HYPERLINK("https://rossileiloes.com.br/lote/detalhe/60536", " Mesa/Maca Ginecológica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=HYPERLINK("https://rossileiloes.com.br/lote/detalhe/60539", "034")</f>
      </c>
      <c r="B21" s="4" t="s">
        <f>=HYPERLINK("https://rossileiloes.com.br/lote/detalhe/60539", " Protetor de chumbo hospitalar móvel ( 181 x 57 cm - espessura 2.5)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=HYPERLINK("https://rossileiloes.com.br/lote/detalhe/60546", "052")</f>
      </c>
      <c r="B22" s="4" t="s">
        <f>=HYPERLINK("https://rossileiloes.com.br/lote/detalhe/60546", " Lote com: Apróx. 90 Parafusos para rede elétrica")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=HYPERLINK("https://rossileiloes.com.br/lote/detalhe/60549", "053")</f>
      </c>
      <c r="B23" s="4" t="s">
        <f>=HYPERLINK("https://rossileiloes.com.br/lote/detalhe/60549", " Lote com: 2 uni. Máquina de tricô e crochê ( Singer e Brother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=HYPERLINK("https://rossileiloes.com.br/lote/detalhe/60548", "055")</f>
      </c>
      <c r="B24" s="4" t="s">
        <f>=HYPERLINK("https://rossileiloes.com.br/lote/detalhe/60548", " Pati Bike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=HYPERLINK("https://rossileiloes.com.br/lote/detalhe/60558", "056")</f>
      </c>
      <c r="B25" s="4" t="s">
        <f>=HYPERLINK("https://rossileiloes.com.br/lote/detalhe/60558", " Gravador de Rolo Pioneer RT/ 707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=HYPERLINK("https://rossileiloes.com.br/lote/detalhe/60545", "057")</f>
      </c>
      <c r="B26" s="4" t="s">
        <f>=HYPERLINK("https://rossileiloes.com.br/lote/detalhe/60545", " Video cassette Recorder JVC HR-3300U - Japones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=HYPERLINK("https://rossileiloes.com.br/lote/detalhe/60551", "058")</f>
      </c>
      <c r="B27" s="4" t="s">
        <f>=HYPERLINK("https://rossileiloes.com.br/lote/detalhe/60551", " Game Power Chip - Funcionando ( acompanha cabos, mouse e teclado)")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=HYPERLINK("https://rossileiloes.com.br/lote/detalhe/60550", "059")</f>
      </c>
      <c r="B28" s="4" t="s">
        <f>=HYPERLINK("https://rossileiloes.com.br/lote/detalhe/60550", " Tape de Rolo AKAI Modelo 400D ")</f>
      </c>
      <c r="C28" s="4" t="inlineStr">
        <is>
          <t>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=HYPERLINK("https://rossileiloes.com.br/lote/detalhe/60557", "060")</f>
      </c>
      <c r="B29" s="4" t="s">
        <f>=HYPERLINK("https://rossileiloes.com.br/lote/detalhe/60557", " Lote com: 3 calculadoras Antigas Cássio")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=HYPERLINK("https://rossileiloes.com.br/lote/detalhe/60553", "062")</f>
      </c>
      <c r="B30" s="4" t="s">
        <f>=HYPERLINK("https://rossileiloes.com.br/lote/detalhe/60553", " Apple iMac antigo -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=HYPERLINK("https://rossileiloes.com.br/lote/detalhe/60561", "069")</f>
      </c>
      <c r="B31" s="4" t="s">
        <f>=HYPERLINK("https://rossileiloes.com.br/lote/detalhe/60561", " Lote com: Apróx. 26 máquinas de escrever e 3 mimiográfos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=HYPERLINK("https://rossileiloes.com.br/lote/detalhe/60564", "070")</f>
      </c>
      <c r="B32" s="4" t="s">
        <f>=HYPERLINK("https://rossileiloes.com.br/lote/detalhe/60564", " Lote com: 2 uni. Máquina de tricô e crochê ( Lanofix e Elgin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=HYPERLINK("https://rossileiloes.com.br/lote/detalhe/60567", "084")</f>
      </c>
      <c r="B33" s="4" t="s">
        <f>=HYPERLINK("https://rossileiloes.com.br/lote/detalhe/60567", " Esteira R2 - Não ligando")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=HYPERLINK("https://rossileiloes.com.br/lote/detalhe/60573", "089")</f>
      </c>
      <c r="B34" s="4" t="s">
        <f>=HYPERLINK("https://rossileiloes.com.br/lote/detalhe/60573", " Lote com: 41 uni. Telefones , 5 uni. Modens e 33 uni. Bobinas de fax")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=HYPERLINK("https://rossileiloes.com.br/lote/detalhe/60572", "106")</f>
      </c>
      <c r="B35" s="4" t="s">
        <f>=HYPERLINK("https://rossileiloes.com.br/lote/detalhe/60572", " Candelabro 3 velas em metal ( 25x 33cm)")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=HYPERLINK("https://rossileiloes.com.br/lote/detalhe/60570", "111")</f>
      </c>
      <c r="B36" s="4" t="s">
        <f>=HYPERLINK("https://rossileiloes.com.br/lote/detalhe/60570", " Cabine UV para unha")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=HYPERLINK("https://rossileiloes.com.br/lote/detalhe/60568", "114")</f>
      </c>
      <c r="B37" s="4" t="s">
        <f>=HYPERLINK("https://rossileiloes.com.br/lote/detalhe/60568", " Lote com 7 porta copos em vidro")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=HYPERLINK("https://rossileiloes.com.br/lote/detalhe/60566", "115")</f>
      </c>
      <c r="B38" s="4" t="s">
        <f>=HYPERLINK("https://rossileiloes.com.br/lote/detalhe/60566", " Projetor Sankyo super 8 Sound 700 com 1 carretel")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=HYPERLINK("https://rossileiloes.com.br/lote/detalhe/60574", "120")</f>
      </c>
      <c r="B39" s="4" t="s">
        <f>=HYPERLINK("https://rossileiloes.com.br/lote/detalhe/60574", " Revólver de espoleta - Zar Colt em metal e plástico")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=HYPERLINK("https://rossileiloes.com.br/lote/detalhe/60571", "121")</f>
      </c>
      <c r="B40" s="4" t="s">
        <f>=HYPERLINK("https://rossileiloes.com.br/lote/detalhe/60571", " Projetor Eumig Mark s 807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=HYPERLINK("https://rossileiloes.com.br/lote/detalhe/60463", "122")</f>
      </c>
      <c r="B41" s="4" t="s">
        <f>=HYPERLINK("https://rossileiloes.com.br/lote/detalhe/60463", " Babá eletrônica KidShine - umidificador infantil Techline - Massageador Pessoal MI - 3000")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=HYPERLINK("https://rossileiloes.com.br/lote/detalhe/60501", "123")</f>
      </c>
      <c r="B42" s="4" t="s">
        <f>=HYPERLINK("https://rossileiloes.com.br/lote/detalhe/60501", " Relógio despertador de máquina à corda BW em caixa de joaninha")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=HYPERLINK("https://rossileiloes.com.br/lote/detalhe/60499", "125")</f>
      </c>
      <c r="B43" s="4" t="s">
        <f>=HYPERLINK("https://rossileiloes.com.br/lote/detalhe/60499", " Centro de mesa em prata 90 ( 5 x 26 x 17 cm)")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=HYPERLINK("https://rossileiloes.com.br/lote/detalhe/60465", "126")</f>
      </c>
      <c r="B44" s="4" t="s">
        <f>=HYPERLINK("https://rossileiloes.com.br/lote/detalhe/60465", " Aparelho de ultrassom compact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=HYPERLINK("https://rossileiloes.com.br/lote/detalhe/60474", "132")</f>
      </c>
      <c r="B45" s="4" t="s">
        <f>=HYPERLINK("https://rossileiloes.com.br/lote/detalhe/60474", " Luminária de mesa em porcelana")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=HYPERLINK("https://rossileiloes.com.br/lote/detalhe/60464", "134")</f>
      </c>
      <c r="B46" s="4" t="s">
        <f>=HYPERLINK("https://rossileiloes.com.br/lote/detalhe/60464", " Luminária italiana em resina ( 73cm)")</f>
      </c>
      <c r="C46" s="4" t="inlineStr">
        <is>
          <t>Vendido</t>
        </is>
      </c>
      <c r="D46" s="4" t="inlineStr">
        <is>
          <t>1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=HYPERLINK("https://rossileiloes.com.br/lote/detalhe/60471", "138")</f>
      </c>
      <c r="B47" s="4" t="s">
        <f>=HYPERLINK("https://rossileiloes.com.br/lote/detalhe/60471", " Loud - css - Speaker selector")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=HYPERLINK("https://rossileiloes.com.br/lote/detalhe/60466", "139")</f>
      </c>
      <c r="B48" s="4" t="s">
        <f>=HYPERLINK("https://rossileiloes.com.br/lote/detalhe/60466", " Faca gaúcha")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=HYPERLINK("https://rossileiloes.com.br/lote/detalhe/60469", "141")</f>
      </c>
      <c r="B49" s="4" t="s">
        <f>=HYPERLINK("https://rossileiloes.com.br/lote/detalhe/60469", " Lote com: Apróx. 199 zípers vários tipos e tamanhos")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=HYPERLINK("https://rossileiloes.com.br/lote/detalhe/60470", "144")</f>
      </c>
      <c r="B50" s="4" t="s">
        <f>=HYPERLINK("https://rossileiloes.com.br/lote/detalhe/60470", " Projetor Sanyo PLC-200PM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=HYPERLINK("https://rossileiloes.com.br/lote/detalhe/60477", "152")</f>
      </c>
      <c r="B51" s="4" t="s">
        <f>=HYPERLINK("https://rossileiloes.com.br/lote/detalhe/60477", " Trenzinho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=HYPERLINK("https://rossileiloes.com.br/lote/detalhe/60500", "157")</f>
      </c>
      <c r="B52" s="4" t="s">
        <f>=HYPERLINK("https://rossileiloes.com.br/lote/detalhe/60500", " Bule em metal espessurado à prata DAREL BERRD ( 20cm)")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=HYPERLINK("https://rossileiloes.com.br/lote/detalhe/60472", "158")</f>
      </c>
      <c r="B53" s="4" t="s">
        <f>=HYPERLINK("https://rossileiloes.com.br/lote/detalhe/60472", " Duplicador de "Slite Ohnar Zoom Reverser Japan", 16x8x,6,5cm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=HYPERLINK("https://rossileiloes.com.br/lote/detalhe/60473", "159")</f>
      </c>
      <c r="B54" s="4" t="s">
        <f>=HYPERLINK("https://rossileiloes.com.br/lote/detalhe/60473", " Lente Tamron 35-135mm 1:3.5-4.2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=HYPERLINK("https://rossileiloes.com.br/lote/detalhe/60475", "165")</f>
      </c>
      <c r="B55" s="4" t="s">
        <f>=HYPERLINK("https://rossileiloes.com.br/lote/detalhe/60475", " Lente MINOLTA MC TELE ROKKOR - PE, 1:4.5, 200mm,")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=HYPERLINK("https://rossileiloes.com.br/lote/detalhe/60479", "166")</f>
      </c>
      <c r="B56" s="4" t="s">
        <f>=HYPERLINK("https://rossileiloes.com.br/lote/detalhe/60479", " Relógio masculino TOMMY HILFIGER water proof, 100% aço preto")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=HYPERLINK("https://rossileiloes.com.br/lote/detalhe/60467", "167")</f>
      </c>
      <c r="B57" s="4" t="s">
        <f>=HYPERLINK("https://rossileiloes.com.br/lote/detalhe/60467", " LENTE CANON MADE IN JAPAN PARA MÁQUINA FOTOGRÁFICA 100-200mm 1:5.6 S.C")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=HYPERLINK("https://rossileiloes.com.br/lote/detalhe/60481", "176")</f>
      </c>
      <c r="B58" s="4" t="s">
        <f>=HYPERLINK("https://rossileiloes.com.br/lote/detalhe/60481", " Enciclopédia Britannia Great Books of the Western World, publicada pela Encyclopedia Britannia, Inc., Chicago, 1952. Encadernação de luxo com 49 volumes")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=HYPERLINK("https://rossileiloes.com.br/lote/detalhe/60480", "177")</f>
      </c>
      <c r="B59" s="4" t="s">
        <f>=HYPERLINK("https://rossileiloes.com.br/lote/detalhe/60480", " Lente TAMRON macro 80-200mm, 18cm")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=HYPERLINK("https://rossileiloes.com.br/lote/detalhe/60476", "178")</f>
      </c>
      <c r="B60" s="4" t="s">
        <f>=HYPERLINK("https://rossileiloes.com.br/lote/detalhe/60476", " Câmera japonesa da marca sony Cyber-shot modelo dsc f828 . Falta bateria. Acompanha carregador e case")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=HYPERLINK("https://rossileiloes.com.br/lote/detalhe/60483", "182")</f>
      </c>
      <c r="B61" s="4" t="s">
        <f>=HYPERLINK("https://rossileiloes.com.br/lote/detalhe/60483", " FAMILY GAME - Antigo vídeo game com dois controles acondicionados em caixa de papelão original. Acompanham 2 cartuchos e cabo de energia")</f>
      </c>
      <c r="C61" s="4" t="inlineStr">
        <is>
          <t>Vendido</t>
        </is>
      </c>
      <c r="D61" s="4" t="inlineStr">
        <is>
          <t>5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=HYPERLINK("https://rossileiloes.com.br/lote/detalhe/60484", "183")</f>
      </c>
      <c r="B62" s="4" t="s">
        <f>=HYPERLINK("https://rossileiloes.com.br/lote/detalhe/60484", " lote com: 3 garrafas de vinho português ( lacradas) 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=HYPERLINK("https://rossileiloes.com.br/lote/detalhe/60575", "187")</f>
      </c>
      <c r="B63" s="4" t="s">
        <f>=HYPERLINK("https://rossileiloes.com.br/lote/detalhe/60575", " Lente para Máquina fotográfica AUS JENA ( 23x13cm)")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=HYPERLINK("https://rossileiloes.com.br/lote/detalhe/60577", "188")</f>
      </c>
      <c r="B64" s="4" t="s">
        <f>=HYPERLINK("https://rossileiloes.com.br/lote/detalhe/60577", " Lente Soligor Japonesa com case")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=HYPERLINK("https://rossileiloes.com.br/lote/detalhe/60576", "193")</f>
      </c>
      <c r="B65" s="4" t="s">
        <f>=HYPERLINK("https://rossileiloes.com.br/lote/detalhe/60576", " Máquina de preencher cheque - Check - pronto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=HYPERLINK("https://rossileiloes.com.br/lote/detalhe/60482", "194")</f>
      </c>
      <c r="B66" s="4" t="s">
        <f>=HYPERLINK("https://rossileiloes.com.br/lote/detalhe/60482", " Lente Tamron for pentax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=HYPERLINK("https://rossileiloes.com.br/lote/detalhe/60485", "197")</f>
      </c>
      <c r="B67" s="4" t="s">
        <f>=HYPERLINK("https://rossileiloes.com.br/lote/detalhe/60485", " Máquina Zenith 122k Com lente disparador flash e bolsa")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=HYPERLINK("https://rossileiloes.com.br/lote/detalhe/60578", "203")</f>
      </c>
      <c r="B68" s="4" t="s">
        <f>=HYPERLINK("https://rossileiloes.com.br/lote/detalhe/60578", "Corrente fechada ( 32cm)")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=HYPERLINK("https://rossileiloes.com.br/lote/detalhe/60579", "206")</f>
      </c>
      <c r="B69" s="4" t="s">
        <f>=HYPERLINK("https://rossileiloes.com.br/lote/detalhe/60579", "lote com: + 400 cards de campeonato de futebol italiano")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=HYPERLINK("https://rossileiloes.com.br/lote/detalhe/60580", "215")</f>
      </c>
      <c r="B70" s="4" t="s">
        <f>=HYPERLINK("https://rossileiloes.com.br/lote/detalhe/60580", "Par de remos")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=HYPERLINK("https://rossileiloes.com.br/lote/detalhe/60581", "216")</f>
      </c>
      <c r="B71" s="4" t="s">
        <f>=HYPERLINK("https://rossileiloes.com.br/lote/detalhe/60581", "Lote com: 30 conjuntos de calça e blusão - vários modelos e tamanhos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=HYPERLINK("https://rossileiloes.com.br/lote/detalhe/60582", "217")</f>
      </c>
      <c r="B72" s="4" t="s">
        <f>=HYPERLINK("https://rossileiloes.com.br/lote/detalhe/60582", "Relógio Mido Automatic Multifort")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=HYPERLINK("https://rossileiloes.com.br/lote/detalhe/60583", "226")</f>
      </c>
      <c r="B73" s="4" t="s">
        <f>=HYPERLINK("https://rossileiloes.com.br/lote/detalhe/60583", "Lote com: Cds curso de montagem, livros e fitas de idiomas ")</f>
      </c>
      <c r="C73" s="4" t="inlineStr">
        <is>
          <t>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=HYPERLINK("https://rossileiloes.com.br/lote/detalhe/60584", "227")</f>
      </c>
      <c r="B74" s="4" t="s">
        <f>=HYPERLINK("https://rossileiloes.com.br/lote/detalhe/60584", "Coleção de cartões telefônicos - Apróx 2.500 cartões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=HYPERLINK("https://rossileiloes.com.br/lote/detalhe/60585", "233")</f>
      </c>
      <c r="B75" s="4" t="s">
        <f>=HYPERLINK("https://rossileiloes.com.br/lote/detalhe/60585", "Mini tv Symphinic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=HYPERLINK("https://rossileiloes.com.br/lote/detalhe/60586", "235")</f>
      </c>
      <c r="B76" s="4" t="s">
        <f>=HYPERLINK("https://rossileiloes.com.br/lote/detalhe/60586", "Tv Mitsubishi com controle remoto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=HYPERLINK("https://rossileiloes.com.br/lote/detalhe/60587", "237")</f>
      </c>
      <c r="B77" s="4" t="s">
        <f>=HYPERLINK("https://rossileiloes.com.br/lote/detalhe/60587", "Antiga tv Philco Deluxe 17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=HYPERLINK("https://rossileiloes.com.br/lote/detalhe/60588", "239")</f>
      </c>
      <c r="B78" s="4" t="s">
        <f>=HYPERLINK("https://rossileiloes.com.br/lote/detalhe/60588", "Tv antiga Philips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=HYPERLINK("https://rossileiloes.com.br/lote/detalhe/60589", "240")</f>
      </c>
      <c r="B79" s="4" t="s">
        <f>=HYPERLINK("https://rossileiloes.com.br/lote/detalhe/60589", "Tv antiga Silver point japan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=HYPERLINK("https://rossileiloes.com.br/lote/detalhe/60590", "241")</f>
      </c>
      <c r="B80" s="4" t="s">
        <f>=HYPERLINK("https://rossileiloes.com.br/lote/detalhe/60590", "Tv antiga Sharp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=HYPERLINK("https://rossileiloes.com.br/lote/detalhe/60591", "242")</f>
      </c>
      <c r="B81" s="4" t="s">
        <f>=HYPERLINK("https://rossileiloes.com.br/lote/detalhe/60591", "Tv antiga Philips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=HYPERLINK("https://rossileiloes.com.br/lote/detalhe/60592", "247")</f>
      </c>
      <c r="B82" s="4" t="s">
        <f>=HYPERLINK("https://rossileiloes.com.br/lote/detalhe/60592", "Kit laringoscópio c/ 3 Lâminas missouri com lanterna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=HYPERLINK("https://rossileiloes.com.br/lote/detalhe/60593", "254")</f>
      </c>
      <c r="B83" s="4" t="s">
        <f>=HYPERLINK("https://rossileiloes.com.br/lote/detalhe/60593", "Conjunto para cama de casal importado")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=HYPERLINK("https://rossileiloes.com.br/lote/detalhe/60597", "266")</f>
      </c>
      <c r="B84" s="4" t="s">
        <f>=HYPERLINK("https://rossileiloes.com.br/lote/detalhe/60597", " Cadeira odontológica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=HYPERLINK("https://rossileiloes.com.br/lote/detalhe/60596", "269")</f>
      </c>
      <c r="B85" s="4" t="s">
        <f>=HYPERLINK("https://rossileiloes.com.br/lote/detalhe/60596", " Adaga Chinesa em metal , detalhes dourados, lâmina em aço - 26cm")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=HYPERLINK("https://rossileiloes.com.br/lote/detalhe/60595", "270")</f>
      </c>
      <c r="B86" s="4" t="s">
        <f>=HYPERLINK("https://rossileiloes.com.br/lote/detalhe/60595", " Galheteiro - 5 pçs.")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=HYPERLINK("https://rossileiloes.com.br/lote/detalhe/60594", "271")</f>
      </c>
      <c r="B87" s="4" t="s">
        <f>=HYPERLINK("https://rossileiloes.com.br/lote/detalhe/60594", " Licoreira em cristal Baccarat - séc XIX - 26cm altura")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=HYPERLINK("https://rossileiloes.com.br/lote/detalhe/60601", "293")</f>
      </c>
      <c r="B88" s="4" t="s">
        <f>=HYPERLINK("https://rossileiloes.com.br/lote/detalhe/60601", " Filtro de porcelana - 43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=HYPERLINK("https://rossileiloes.com.br/lote/detalhe/60606", "294")</f>
      </c>
      <c r="B89" s="4" t="s">
        <f>=HYPERLINK("https://rossileiloes.com.br/lote/detalhe/60606", " Filtro em porcelana -22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=HYPERLINK("https://rossileiloes.com.br/lote/detalhe/60602", "295")</f>
      </c>
      <c r="B90" s="4" t="s">
        <f>=HYPERLINK("https://rossileiloes.com.br/lote/detalhe/60602", " Filtro em porcelana - 53 Cm - Déc 70.")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=HYPERLINK("https://rossileiloes.com.br/lote/detalhe/60607", "296")</f>
      </c>
      <c r="B91" s="4" t="s">
        <f>=HYPERLINK("https://rossileiloes.com.br/lote/detalhe/60607", " Relógio de mesa Antigo - completo em madeira - ( 42 x 24 x 14cm)")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=HYPERLINK("https://rossileiloes.com.br/lote/detalhe/60609", "299")</f>
      </c>
      <c r="B92" s="4" t="s">
        <f>=HYPERLINK("https://rossileiloes.com.br/lote/detalhe/60609", " Lote com: 4 máquinas de lavar louças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=HYPERLINK("https://rossileiloes.com.br/lote/detalhe/60605", "301")</f>
      </c>
      <c r="B93" s="4" t="s">
        <f>=HYPERLINK("https://rossileiloes.com.br/lote/detalhe/60605", " Lote com: 4 máquinas de lavar louças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=HYPERLINK("https://rossileiloes.com.br/lote/detalhe/60608", "311")</f>
      </c>
      <c r="B94" s="4" t="s">
        <f>=HYPERLINK("https://rossileiloes.com.br/lote/detalhe/60608", " Medalhão em metal espessurado a prata ( 19.5 cm diam.)")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=HYPERLINK("https://rossileiloes.com.br/lote/detalhe/60604", "312")</f>
      </c>
      <c r="B95" s="4" t="s">
        <f>=HYPERLINK("https://rossileiloes.com.br/lote/detalhe/60604", " Lote com: 4 máquinas de lavar louças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=HYPERLINK("https://rossileiloes.com.br/lote/detalhe/60603", "313")</f>
      </c>
      <c r="B96" s="4" t="s">
        <f>=HYPERLINK("https://rossileiloes.com.br/lote/detalhe/60603", " Luminária em metal espessurado a prata ( 47 x 13 x 13 cm)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=HYPERLINK("https://rossileiloes.com.br/lote/detalhe/60610", "314")</f>
      </c>
      <c r="B97" s="4" t="s">
        <f>=HYPERLINK("https://rossileiloes.com.br/lote/detalhe/60610", " 2 uni. Biblias antigas - 1 com medalhão em bronze")</f>
      </c>
      <c r="C97" s="4" t="inlineStr">
        <is>
          <t>Vendido</t>
        </is>
      </c>
      <c r="D97" s="4" t="inlineStr">
        <is>
          <t>3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=HYPERLINK("https://rossileiloes.com.br/lote/detalhe/60611", "321")</f>
      </c>
      <c r="B98" s="4" t="s">
        <f>=HYPERLINK("https://rossileiloes.com.br/lote/detalhe/60611", " Licoreira quadrangular em cristal - Lapidada ( 24.5cm)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=HYPERLINK("https://rossileiloes.com.br/lote/detalhe/60612", "324")</f>
      </c>
      <c r="B99" s="4" t="s">
        <f>=HYPERLINK("https://rossileiloes.com.br/lote/detalhe/60612", " Coleção de bonecos max steel, marvel, etc - 50 uni.")</f>
      </c>
      <c r="C99" s="4" t="inlineStr">
        <is>
          <t>Vendido</t>
        </is>
      </c>
      <c r="D99" s="4" t="inlineStr">
        <is>
          <t>2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=HYPERLINK("https://rossileiloes.com.br/lote/detalhe/60613", "326")</f>
      </c>
      <c r="B100" s="4" t="s">
        <f>=HYPERLINK("https://rossileiloes.com.br/lote/detalhe/60613", " Coleção de bonecas Barbie, princesas, etc - 77 uni.   acessórios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=HYPERLINK("https://rossileiloes.com.br/lote/detalhe/60614", "330")</f>
      </c>
      <c r="B101" s="4" t="s">
        <f>=HYPERLINK("https://rossileiloes.com.br/lote/detalhe/60614", " Coleção de bonecas Barbie, princesas, etc. - 100 uni.")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=HYPERLINK("https://rossileiloes.com.br/lote/detalhe/60615", "335")</f>
      </c>
      <c r="B102" s="4" t="s">
        <f>=HYPERLINK("https://rossileiloes.com.br/lote/detalhe/60615", " Licoreira em cristal Europeu - ( 29cm)")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=HYPERLINK("https://rossileiloes.com.br/lote/detalhe/60616", "336")</f>
      </c>
      <c r="B103" s="4" t="s">
        <f>=HYPERLINK("https://rossileiloes.com.br/lote/detalhe/60616", " Lote com: Brinquedos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50,00</t>
        </is>
      </c>
      <c r="F103" s="4" t="inlineStr">
        <is>
          <t>25.00</t>
        </is>
      </c>
    </row>
    <row collapsed="false" customFormat="false" customHeight="false" hidden="false" ht="12.1" outlineLevel="0" r="104">
      <c r="A104" s="5" t="s">
        <f>=HYPERLINK("https://rossileiloes.com.br/lote/detalhe/60617", "339")</f>
      </c>
      <c r="B104" s="4" t="s">
        <f>=HYPERLINK("https://rossileiloes.com.br/lote/detalhe/60617", " Prato importado em porcelana chinesa ( 31cm)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=HYPERLINK("https://rossileiloes.com.br/lote/detalhe/60618", "340")</f>
      </c>
      <c r="B105" s="4" t="s">
        <f>=HYPERLINK("https://rossileiloes.com.br/lote/detalhe/60618", " Lote com: Brinquedos 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=HYPERLINK("https://rossileiloes.com.br/lote/detalhe/60619", "344")</f>
      </c>
      <c r="B106" s="4" t="s">
        <f>=HYPERLINK("https://rossileiloes.com.br/lote/detalhe/60619", " Lote com: jogos diversos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=HYPERLINK("https://rossileiloes.com.br/lote/detalhe/60620", "345")</f>
      </c>
      <c r="B107" s="4" t="s">
        <f>=HYPERLINK("https://rossileiloes.com.br/lote/detalhe/60620", " Par de castiçais em metal dourado ( 23cm)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=HYPERLINK("https://rossileiloes.com.br/lote/detalhe/60621", "347")</f>
      </c>
      <c r="B108" s="4" t="s">
        <f>=HYPERLINK("https://rossileiloes.com.br/lote/detalhe/60621", " Escultura de elefante com madrepérola ( 19 x 23cm)")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=HYPERLINK("https://rossileiloes.com.br/lote/detalhe/60623", "354")</f>
      </c>
      <c r="B109" s="4" t="s">
        <f>=HYPERLINK("https://rossileiloes.com.br/lote/detalhe/60623", " Piano antigo Hering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=HYPERLINK("https://rossileiloes.com.br/lote/detalhe/60622", "355")</f>
      </c>
      <c r="B110" s="4" t="s">
        <f>=HYPERLINK("https://rossileiloes.com.br/lote/detalhe/60622", " Medalhão de parede em metal dourado - (32cm)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=HYPERLINK("https://rossileiloes.com.br/lote/detalhe/60625", "358")</f>
      </c>
      <c r="B111" s="4" t="s">
        <f>=HYPERLINK("https://rossileiloes.com.br/lote/detalhe/60625", " Lote com: 100 uni. Facas em inox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=HYPERLINK("https://rossileiloes.com.br/lote/detalhe/60624", "360")</f>
      </c>
      <c r="B112" s="4" t="s">
        <f>=HYPERLINK("https://rossileiloes.com.br/lote/detalhe/60624", " Lote com: 100 facas e 1. tesoura")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=HYPERLINK("https://rossileiloes.com.br/lote/detalhe/60626", "362")</f>
      </c>
      <c r="B113" s="4" t="s">
        <f>=HYPERLINK("https://rossileiloes.com.br/lote/detalhe/60626", " Lote com: 100 facas em inox. (apenas as facas)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=HYPERLINK("https://rossileiloes.com.br/lote/detalhe/60627", "364")</f>
      </c>
      <c r="B114" s="4" t="s">
        <f>=HYPERLINK("https://rossileiloes.com.br/lote/detalhe/60627", " Lote com: 100 facas em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=HYPERLINK("https://rossileiloes.com.br/lote/detalhe/60628", "366")</f>
      </c>
      <c r="B115" s="4" t="s">
        <f>=HYPERLINK("https://rossileiloes.com.br/lote/detalhe/60628", " Lote com: Brinquedos diversos")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50,00</t>
        </is>
      </c>
      <c r="F115" s="4" t="inlineStr">
        <is>
          <t>25.00</t>
        </is>
      </c>
    </row>
    <row collapsed="false" customFormat="false" customHeight="false" hidden="false" ht="12.1" outlineLevel="0" r="116">
      <c r="A116" s="5" t="s">
        <f>=HYPERLINK("https://rossileiloes.com.br/lote/detalhe/60629", "369")</f>
      </c>
      <c r="B116" s="4" t="s">
        <f>=HYPERLINK("https://rossileiloes.com.br/lote/detalhe/60629", " Faqueiro 80 pçs. Em inox dourado")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=HYPERLINK("https://rossileiloes.com.br/lote/detalhe/60630", "370")</f>
      </c>
      <c r="B117" s="4" t="s">
        <f>=HYPERLINK("https://rossileiloes.com.br/lote/detalhe/60630", " Lote com: Conchas de oceano, diversos tamanhos - 20 itens.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=HYPERLINK("https://rossileiloes.com.br/lote/detalhe/60632", "372")</f>
      </c>
      <c r="B118" s="4" t="s">
        <f>=HYPERLINK("https://rossileiloes.com.br/lote/detalhe/60632", " Boneco gnomo raridade - 26cm")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=HYPERLINK("https://rossileiloes.com.br/lote/detalhe/60633", "374")</f>
      </c>
      <c r="B119" s="4" t="s">
        <f>=HYPERLINK("https://rossileiloes.com.br/lote/detalhe/60633", " Coleção livros mestre da pintuda editora abril - 39 uni.")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=HYPERLINK("https://rossileiloes.com.br/lote/detalhe/60634", "375")</f>
      </c>
      <c r="B120" s="4" t="s">
        <f>=HYPERLINK("https://rossileiloes.com.br/lote/detalhe/60634", " Licoreira com taças em vidrão bico de jaca - 25.5 cm jarra - 10cm copo")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=HYPERLINK("https://rossileiloes.com.br/lote/detalhe/60635", "378")</f>
      </c>
      <c r="B121" s="4" t="s">
        <f>=HYPERLINK("https://rossileiloes.com.br/lote/detalhe/60635", " Cabine UV para unhas de gel e acry gel")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=HYPERLINK("https://rossileiloes.com.br/lote/detalhe/60631", "379")</f>
      </c>
      <c r="B122" s="4" t="s">
        <f>=HYPERLINK("https://rossileiloes.com.br/lote/detalhe/60631", " Relógio de parede Tagus Sincro - elétrico ( 36cm)")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=HYPERLINK("https://rossileiloes.com.br/lote/detalhe/60598", "384")</f>
      </c>
      <c r="B123" s="4" t="s">
        <f>=HYPERLINK("https://rossileiloes.com.br/lote/detalhe/60598", " Coleção Livros Pedro Calmon - História do Brasil - 7 volumes")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430,00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=HYPERLINK("https://rossileiloes.com.br/lote/detalhe/60599", "387")</f>
      </c>
      <c r="B124" s="4" t="s">
        <f>=HYPERLINK("https://rossileiloes.com.br/lote/detalhe/60599", " Máquinas de costura Elgin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=HYPERLINK("https://rossileiloes.com.br/lote/detalhe/60487", "395")</f>
      </c>
      <c r="B125" s="4" t="s">
        <f>=HYPERLINK("https://rossileiloes.com.br/lote/detalhe/60487", " Lote com: 47 gibis TEX - 47 edições Globo ( 140 a 143, 207 a 254) e 3 edições Riográfica (204 a 206)")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=HYPERLINK("https://rossileiloes.com.br/lote/detalhe/60488", "396")</f>
      </c>
      <c r="B126" s="4" t="s">
        <f>=HYPERLINK("https://rossileiloes.com.br/lote/detalhe/60488", " Lote com: 3 esculturas em bronze de origem árabe")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=HYPERLINK("https://rossileiloes.com.br/lote/detalhe/60486", "397")</f>
      </c>
      <c r="B127" s="4" t="s">
        <f>=HYPERLINK("https://rossileiloes.com.br/lote/detalhe/60486", " Lote com: 220 gibis TEX editora Mythos")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=HYPERLINK("https://rossileiloes.com.br/lote/detalhe/60489", "399")</f>
      </c>
      <c r="B128" s="4" t="s">
        <f>=HYPERLINK("https://rossileiloes.com.br/lote/detalhe/60489", " Peças para relógio carrilhão para restauros")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=HYPERLINK("https://rossileiloes.com.br/lote/detalhe/60490", "404")</f>
      </c>
      <c r="B129" s="4" t="s">
        <f>=HYPERLINK("https://rossileiloes.com.br/lote/detalhe/60490", " Lote com: brinquedos e bonecas antigas - estrela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50,00</t>
        </is>
      </c>
      <c r="F129" s="4" t="inlineStr">
        <is>
          <t>25.00</t>
        </is>
      </c>
    </row>
    <row collapsed="false" customFormat="false" customHeight="false" hidden="false" ht="12.1" outlineLevel="0" r="130">
      <c r="A130" s="5" t="s">
        <f>=HYPERLINK("https://rossileiloes.com.br/lote/detalhe/60491", "406")</f>
      </c>
      <c r="B130" s="4" t="s">
        <f>=HYPERLINK("https://rossileiloes.com.br/lote/detalhe/60491", " Brinquedos antigos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=HYPERLINK("https://rossileiloes.com.br/lote/detalhe/60492", "411")</f>
      </c>
      <c r="B131" s="4" t="s">
        <f>=HYPERLINK("https://rossileiloes.com.br/lote/detalhe/60492", " Medalhão em metal (39 cm)")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=HYPERLINK("https://rossileiloes.com.br/lote/detalhe/60493", "415")</f>
      </c>
      <c r="B132" s="4" t="s">
        <f>=HYPERLINK("https://rossileiloes.com.br/lote/detalhe/60493", " Crucifixo em Marfim - único no Brasil - Europe - ( 39 x 19cm)")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=HYPERLINK("https://rossileiloes.com.br/lote/detalhe/60495", "421")</f>
      </c>
      <c r="B133" s="4" t="s">
        <f>=HYPERLINK("https://rossileiloes.com.br/lote/detalhe/60495", " Estátua em bronze banhado a cobre - apoio de madeira - (23.5 x 43 x 8 cm)")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=HYPERLINK("https://rossileiloes.com.br/lote/detalhe/60498", "423")</f>
      </c>
      <c r="B134" s="4" t="s">
        <f>=HYPERLINK("https://rossileiloes.com.br/lote/detalhe/60498", " Escultura importada africana em jacarandá - 20cm")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=HYPERLINK("https://rossileiloes.com.br/lote/detalhe/60497", "424")</f>
      </c>
      <c r="B135" s="4" t="s">
        <f>=HYPERLINK("https://rossileiloes.com.br/lote/detalhe/60497", " Escultura  em Bronze - 3.2kg - 33 x 27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=HYPERLINK("https://rossileiloes.com.br/lote/detalhe/60496", "427")</f>
      </c>
      <c r="B136" s="4" t="s">
        <f>=HYPERLINK("https://rossileiloes.com.br/lote/detalhe/60496", " Jogo de chá importado pintado a mão")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=HYPERLINK("https://rossileiloes.com.br/lote/detalhe/60504", "434")</f>
      </c>
      <c r="B137" s="4" t="s">
        <f>=HYPERLINK("https://rossileiloes.com.br/lote/detalhe/60504", " Lote com: Jogos Play Station originais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=HYPERLINK("https://rossileiloes.com.br/lote/detalhe/60511", "435")</f>
      </c>
      <c r="B138" s="4" t="s">
        <f>=HYPERLINK("https://rossileiloes.com.br/lote/detalhe/60511", " Licoreira em Alabastro - 6 copos")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=HYPERLINK("https://rossileiloes.com.br/lote/detalhe/60509", "436")</f>
      </c>
      <c r="B139" s="4" t="s">
        <f>=HYPERLINK("https://rossileiloes.com.br/lote/detalhe/60509", " Brinquedos antigos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=HYPERLINK("https://rossileiloes.com.br/lote/detalhe/60506", "438")</f>
      </c>
      <c r="B140" s="4" t="s">
        <f>=HYPERLINK("https://rossileiloes.com.br/lote/detalhe/60506", " Brinquedos antigos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25.00</t>
        </is>
      </c>
    </row>
    <row collapsed="false" customFormat="false" customHeight="false" hidden="false" ht="12.1" outlineLevel="0" r="141">
      <c r="A141" s="5" t="s">
        <f>=HYPERLINK("https://rossileiloes.com.br/lote/detalhe/60510", "442")</f>
      </c>
      <c r="B141" s="4" t="s">
        <f>=HYPERLINK("https://rossileiloes.com.br/lote/detalhe/60510", " Brinquedos antigos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=HYPERLINK("https://rossileiloes.com.br/lote/detalhe/60502", "447")</f>
      </c>
      <c r="B142" s="4" t="s">
        <f>=HYPERLINK("https://rossileiloes.com.br/lote/detalhe/60502", " Brinquedos antigos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50,00</t>
        </is>
      </c>
      <c r="F142" s="4" t="inlineStr">
        <is>
          <t>25.00</t>
        </is>
      </c>
    </row>
    <row collapsed="false" customFormat="false" customHeight="false" hidden="false" ht="12.1" outlineLevel="0" r="143">
      <c r="A143" s="5" t="s">
        <f>=HYPERLINK("https://rossileiloes.com.br/lote/detalhe/60505", "449")</f>
      </c>
      <c r="B143" s="4" t="s">
        <f>=HYPERLINK("https://rossileiloes.com.br/lote/detalhe/60505", " Brinquedos antigos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25.00</t>
        </is>
      </c>
    </row>
    <row collapsed="false" customFormat="false" customHeight="false" hidden="false" ht="12.1" outlineLevel="0" r="144">
      <c r="A144" s="5" t="s">
        <f>=HYPERLINK("https://rossileiloes.com.br/lote/detalhe/60512", "452")</f>
      </c>
      <c r="B144" s="4" t="s">
        <f>=HYPERLINK("https://rossileiloes.com.br/lote/detalhe/60512", " Coleção 23 aviões de combate - editora Planeta deagostini")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=HYPERLINK("https://rossileiloes.com.br/lote/detalhe/60513", "456")</f>
      </c>
      <c r="B145" s="4" t="s">
        <f>=HYPERLINK("https://rossileiloes.com.br/lote/detalhe/60513", " Kit de colheres para chá em prata argentina 925 , cabo retorcido - 12 itens.")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=HYPERLINK("https://rossileiloes.com.br/lote/detalhe/60515", "459")</f>
      </c>
      <c r="B146" s="4" t="s">
        <f>=HYPERLINK("https://rossileiloes.com.br/lote/detalhe/60515", " Jogo de calotas VW")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=HYPERLINK("https://rossileiloes.com.br/lote/detalhe/60522", "470")</f>
      </c>
      <c r="B147" s="4" t="s">
        <f>=HYPERLINK("https://rossileiloes.com.br/lote/detalhe/60522", " Galheteiro em Madeira e porcelana - com talheres para servir ( 15/ 24cm)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=HYPERLINK("https://rossileiloes.com.br/lote/detalhe/60525", "472")</f>
      </c>
      <c r="B148" s="4" t="s">
        <f>=HYPERLINK("https://rossileiloes.com.br/lote/detalhe/60525", " Galheteiro em madeira e porcelana - Com tralheres - ( 41/21 cm)")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=HYPERLINK("https://rossileiloes.com.br/lote/detalhe/60519", "473")</f>
      </c>
      <c r="B149" s="4" t="s">
        <f>=HYPERLINK("https://rossileiloes.com.br/lote/detalhe/60519", " Rara Espada em Aço inox - ( 41cm)")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=HYPERLINK("https://rossileiloes.com.br/lote/detalhe/60523", "474")</f>
      </c>
      <c r="B150" s="4" t="s">
        <f>=HYPERLINK("https://rossileiloes.com.br/lote/detalhe/60523", " Escultura em Resina - importado da itália - Séc XX ( 10 x 16 x 11 cm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=HYPERLINK("https://rossileiloes.com.br/lote/detalhe/60518", "476")</f>
      </c>
      <c r="B151" s="4" t="s">
        <f>=HYPERLINK("https://rossileiloes.com.br/lote/detalhe/60518", " Escultura em Resina - importado da itália - Séc XX ( 10 x 16 x 11 cm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=HYPERLINK("https://rossileiloes.com.br/lote/detalhe/60524", "478")</f>
      </c>
      <c r="B152" s="4" t="s">
        <f>=HYPERLINK("https://rossileiloes.com.br/lote/detalhe/60524", " Escultura em Resina - importado da itália - Séc XX ( 10 x 16 x 11 cm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=HYPERLINK("https://rossileiloes.com.br/lote/detalhe/60520", "480")</f>
      </c>
      <c r="B153" s="4" t="s">
        <f>=HYPERLINK("https://rossileiloes.com.br/lote/detalhe/60520", " Escultura em Resina - importado da itália - Séc XX ( 10 x 16 x 11 cm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=HYPERLINK("https://rossileiloes.com.br/lote/detalhe/60521", "482")</f>
      </c>
      <c r="B154" s="4" t="s">
        <f>=HYPERLINK("https://rossileiloes.com.br/lote/detalhe/60521", " Escultura em Resina - importado da itália - Séc XX ( 10 x 16 x 11 cm 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=HYPERLINK("https://rossileiloes.com.br/lote/detalhe/60526", "487")</f>
      </c>
      <c r="B155" s="4" t="s">
        <f>=HYPERLINK("https://rossileiloes.com.br/lote/detalhe/60526", " Luminária em Bronze - 30 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=HYPERLINK("https://rossileiloes.com.br/lote/detalhe/60527", "488")</f>
      </c>
      <c r="B156" s="4" t="s">
        <f>=HYPERLINK("https://rossileiloes.com.br/lote/detalhe/60527", " Castiçais em metal - ( 23 cm )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=HYPERLINK("https://rossileiloes.com.br/lote/detalhe/60528", "494")</f>
      </c>
      <c r="B157" s="4" t="s">
        <f>=HYPERLINK("https://rossileiloes.com.br/lote/detalhe/60528", "Livros coletânea das leis do comércio exterior - 34 volumes")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=HYPERLINK("https://rossileiloes.com.br/lote/detalhe/60649", "501")</f>
      </c>
      <c r="B158" s="4" t="s">
        <f>=HYPERLINK("https://rossileiloes.com.br/lote/detalhe/60649", " Aparelho de jantar em porcelana branca, policromado a prata - 12 peças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=HYPERLINK("https://rossileiloes.com.br/lote/detalhe/60648", "503")</f>
      </c>
      <c r="B159" s="4" t="s">
        <f>=HYPERLINK("https://rossileiloes.com.br/lote/detalhe/60648", " Castiçal em bronze - ( 22cm)")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=HYPERLINK("https://rossileiloes.com.br/lote/detalhe/60641", "508")</f>
      </c>
      <c r="B160" s="4" t="s">
        <f>=HYPERLINK("https://rossileiloes.com.br/lote/detalhe/60641", " Jogo de café - Déc 50 - Banhado a prata - 6 peças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=HYPERLINK("https://rossileiloes.com.br/lote/detalhe/60663", "509")</f>
      </c>
      <c r="B161" s="4" t="s">
        <f>=HYPERLINK("https://rossileiloes.com.br/lote/detalhe/60663", " Aparador em mármore Bege Bahia- bordas em bronze ( 78 x 130 x 40 cm)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=HYPERLINK("https://rossileiloes.com.br/lote/detalhe/60651", "514")</f>
      </c>
      <c r="B162" s="4" t="s">
        <f>=HYPERLINK("https://rossileiloes.com.br/lote/detalhe/60651", " Samovar Prateado ( 45cm)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=HYPERLINK("https://rossileiloes.com.br/lote/detalhe/60647", "515")</f>
      </c>
      <c r="B163" s="4" t="s">
        <f>=HYPERLINK("https://rossileiloes.com.br/lote/detalhe/60647", " Galheteiro metal á prata - italiano ( 25 x 13 cm) 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=HYPERLINK("https://rossileiloes.com.br/lote/detalhe/60650", "521")</f>
      </c>
      <c r="B164" s="4" t="s">
        <f>=HYPERLINK("https://rossileiloes.com.br/lote/detalhe/60650", " Cojunto de café e chá em porcelana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=HYPERLINK("https://rossileiloes.com.br/lote/detalhe/60645", "522")</f>
      </c>
      <c r="B165" s="4" t="s">
        <f>=HYPERLINK("https://rossileiloes.com.br/lote/detalhe/60645", " Abajur em Bronze, vidro em mosaico - (53 x 24cm)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=HYPERLINK("https://rossileiloes.com.br/lote/detalhe/60646", "524")</f>
      </c>
      <c r="B166" s="4" t="s">
        <f>=HYPERLINK("https://rossileiloes.com.br/lote/detalhe/60646", " Relógio de parede em madeira - ( 20cm)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=HYPERLINK("https://rossileiloes.com.br/lote/detalhe/60652", "525")</f>
      </c>
      <c r="B167" s="4" t="s">
        <f>=HYPERLINK("https://rossileiloes.com.br/lote/detalhe/60652", " Soprador Modelo 125B - Gasolina")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=HYPERLINK("https://rossileiloes.com.br/lote/detalhe/60658", "526")</f>
      </c>
      <c r="B168" s="4" t="s">
        <f>=HYPERLINK("https://rossileiloes.com.br/lote/detalhe/60658", " Relógio grande em caixa de madeira - ( 95 x 46 x 20cm)")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=HYPERLINK("https://rossileiloes.com.br/lote/detalhe/60535", "528")</f>
      </c>
      <c r="B169" s="4" t="s">
        <f>=HYPERLINK("https://rossileiloes.com.br/lote/detalhe/60535", " Coluna de resina e bronze - italiana - Déc 70 - ( 31 x 31 x 75 cm)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=HYPERLINK("https://rossileiloes.com.br/lote/detalhe/60533", "529")</f>
      </c>
      <c r="B170" s="4" t="s">
        <f>=HYPERLINK("https://rossileiloes.com.br/lote/detalhe/60533", " Relógio em madeira - ( 90cm)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=HYPERLINK("https://rossileiloes.com.br/lote/detalhe/60657", "530")</f>
      </c>
      <c r="B171" s="4" t="s">
        <f>=HYPERLINK("https://rossileiloes.com.br/lote/detalhe/60657", " Ânfora déc 70 - importada - ( 24 x 24 x 50)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=HYPERLINK("https://rossileiloes.com.br/lote/detalhe/60638", "532")</f>
      </c>
      <c r="B172" s="4" t="s">
        <f>=HYPERLINK("https://rossileiloes.com.br/lote/detalhe/60638", " Relógio Depose 1003 , base em mármore Carrara - italiano - ( 26 x 29 x 11 cm)")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=HYPERLINK("https://rossileiloes.com.br/lote/detalhe/60643", "533")</f>
      </c>
      <c r="B173" s="4" t="s">
        <f>=HYPERLINK("https://rossileiloes.com.br/lote/detalhe/60643", " Prato decorativo - Porcelana portuguesa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=HYPERLINK("https://rossileiloes.com.br/lote/detalhe/60653", "534")</f>
      </c>
      <c r="B174" s="4" t="s">
        <f>=HYPERLINK("https://rossileiloes.com.br/lote/detalhe/60653", " Jogo em banho de prata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=HYPERLINK("https://rossileiloes.com.br/lote/detalhe/60654", "535")</f>
      </c>
      <c r="B175" s="4" t="s">
        <f>=HYPERLINK("https://rossileiloes.com.br/lote/detalhe/60654", " Lote com: 4 uni. Redução de mangueira de incêndio ( 2.1/2 x 1 .1/2)")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=HYPERLINK("https://rossileiloes.com.br/lote/detalhe/60662", "537")</f>
      </c>
      <c r="B176" s="4" t="s">
        <f>=HYPERLINK("https://rossileiloes.com.br/lote/detalhe/60662", " Lote com: 16 gibis TEX")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=HYPERLINK("https://rossileiloes.com.br/lote/detalhe/60661", "539")</f>
      </c>
      <c r="B177" s="4" t="s">
        <f>=HYPERLINK("https://rossileiloes.com.br/lote/detalhe/60661", " Motor induzido - sem uso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=HYPERLINK("https://rossileiloes.com.br/lote/detalhe/60666", "540")</f>
      </c>
      <c r="B178" s="4" t="s">
        <f>=HYPERLINK("https://rossileiloes.com.br/lote/detalhe/60666", " Curso Epoca English Plus - completo - 33 fascículos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=HYPERLINK("https://rossileiloes.com.br/lote/detalhe/60640", "542")</f>
      </c>
      <c r="B179" s="4" t="s">
        <f>=HYPERLINK("https://rossileiloes.com.br/lote/detalhe/60640", " Lote com: coleção 87 uni Album de figurinhas - (   5 mil figurinhas)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=HYPERLINK("https://rossileiloes.com.br/lote/detalhe/60664", "543")</f>
      </c>
      <c r="B180" s="4" t="s">
        <f>=HYPERLINK("https://rossileiloes.com.br/lote/detalhe/60664", " Lote com: Jogos diversos - damas baralhos bingo xadrez")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=HYPERLINK("https://rossileiloes.com.br/lote/detalhe/60660", "545")</f>
      </c>
      <c r="B181" s="4" t="s">
        <f>=HYPERLINK("https://rossileiloes.com.br/lote/detalhe/60660", " Lote com: 8 Jogos nintendo Ds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=HYPERLINK("https://rossileiloes.com.br/lote/detalhe/60531", "547")</f>
      </c>
      <c r="B182" s="4" t="s">
        <f>=HYPERLINK("https://rossileiloes.com.br/lote/detalhe/60531", " Gargantilha")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=HYPERLINK("https://rossileiloes.com.br/lote/detalhe/60639", "548")</f>
      </c>
      <c r="B183" s="4" t="s">
        <f>=HYPERLINK("https://rossileiloes.com.br/lote/detalhe/60639", " 2 uni champagne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=HYPERLINK("https://rossileiloes.com.br/lote/detalhe/60636", "549")</f>
      </c>
      <c r="B184" s="4" t="s">
        <f>=HYPERLINK("https://rossileiloes.com.br/lote/detalhe/60636", " Pé de máquina Singer")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=HYPERLINK("https://rossileiloes.com.br/lote/detalhe/60659", "553")</f>
      </c>
      <c r="B185" s="4" t="s">
        <f>=HYPERLINK("https://rossileiloes.com.br/lote/detalhe/60659", " 3 uni. Mangueira de incêndio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=HYPERLINK("https://rossileiloes.com.br/lote/detalhe/60529", "554")</f>
      </c>
      <c r="B186" s="4" t="s">
        <f>=HYPERLINK("https://rossileiloes.com.br/lote/detalhe/60529", " Lote com: 6 uni. Grades ( 89 x 19 cm)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=HYPERLINK("https://rossileiloes.com.br/lote/detalhe/60665", "562")</f>
      </c>
      <c r="B187" s="4" t="s">
        <f>=HYPERLINK("https://rossileiloes.com.br/lote/detalhe/60665", " Lote com: Itens de costura e linha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=HYPERLINK("https://rossileiloes.com.br/lote/detalhe/60642", "566")</f>
      </c>
      <c r="B188" s="4" t="s">
        <f>=HYPERLINK("https://rossileiloes.com.br/lote/detalhe/60642", " Esmoleira em metal espessurado a prata - 3 pés ( 30cm diam.)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=HYPERLINK("https://rossileiloes.com.br/lote/detalhe/60637", "568")</f>
      </c>
      <c r="B189" s="4" t="s">
        <f>=HYPERLINK("https://rossileiloes.com.br/lote/detalhe/60637", " Salva em prata brasileira - 235gr. Teor - ( 20cm diam.)")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=HYPERLINK("https://rossileiloes.com.br/lote/detalhe/60530", "572")</f>
      </c>
      <c r="B190" s="4" t="s">
        <f>=HYPERLINK("https://rossileiloes.com.br/lote/detalhe/60530", " Gomil em metal espessurado a prata - ( 46x11 cm Bacia - 40 x 24 cm Jarra )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=HYPERLINK("https://rossileiloes.com.br/lote/detalhe/60655", "574")</f>
      </c>
      <c r="B191" s="4" t="s">
        <f>=HYPERLINK("https://rossileiloes.com.br/lote/detalhe/60655", " Relógio em bronze- Déc 70 - ( 67 x 19 x 34 cm)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=HYPERLINK("https://rossileiloes.com.br/lote/detalhe/60534", "576")</f>
      </c>
      <c r="B192" s="4" t="s">
        <f>=HYPERLINK("https://rossileiloes.com.br/lote/detalhe/60534", " Candelabro banhado a prata - ( 37 x 20 cm)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=HYPERLINK("https://rossileiloes.com.br/lote/detalhe/60532", "577")</f>
      </c>
      <c r="B193" s="4" t="s">
        <f>=HYPERLINK("https://rossileiloes.com.br/lote/detalhe/60532", " Centro de mesa banhado a prata - ( 31 x 30 cm)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=HYPERLINK("https://rossileiloes.com.br/lote/detalhe/60656", "578")</f>
      </c>
      <c r="B194" s="4" t="s">
        <f>=HYPERLINK("https://rossileiloes.com.br/lote/detalhe/60656", " Relógio de mesa Vesna - importado união soviética - (10 x 20 cm)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=HYPERLINK("https://rossileiloes.com.br/lote/detalhe/60542", "581")</f>
      </c>
      <c r="B195" s="4" t="s">
        <f>=HYPERLINK("https://rossileiloes.com.br/lote/detalhe/60542", " Relógio de cordas ( 75 cm )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=HYPERLINK("https://rossileiloes.com.br/lote/detalhe/60552", "583")</f>
      </c>
      <c r="B196" s="4" t="s">
        <f>=HYPERLINK("https://rossileiloes.com.br/lote/detalhe/60552", "Lote com: 100 bonecas barbie e outras.")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450,00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=HYPERLINK("https://rossileiloes.com.br/lote/detalhe/60554", "584")</f>
      </c>
      <c r="B197" s="4" t="s">
        <f>=HYPERLINK("https://rossileiloes.com.br/lote/detalhe/60554", "Lote com: 21 uni. bonecas raras suzy- estrela ")</f>
      </c>
      <c r="C197" s="4" t="inlineStr">
        <is>
          <t>Vendido</t>
        </is>
      </c>
      <c r="D197" s="4" t="inlineStr">
        <is>
          <t>2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=HYPERLINK("https://rossileiloes.com.br/lote/detalhe/60555", "585")</f>
      </c>
      <c r="B198" s="4" t="s">
        <f>=HYPERLINK("https://rossileiloes.com.br/lote/detalhe/60555", "Lote com: 70 uni. Bonecas Barbies monster high e acessórios 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=HYPERLINK("https://rossileiloes.com.br/lote/detalhe/60556", "586")</f>
      </c>
      <c r="B199" s="4" t="s">
        <f>=HYPERLINK("https://rossileiloes.com.br/lote/detalhe/60556", "Lote com: coleção TEX Edição Históricas - 53 volumes")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=HYPERLINK("https://rossileiloes.com.br/lote/detalhe/60559", "588")</f>
      </c>
      <c r="B200" s="4" t="s">
        <f>=HYPERLINK("https://rossileiloes.com.br/lote/detalhe/60559", "Lote com: 26 edições - Gibs TEX - 01 a 27 ( falta 18 )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=HYPERLINK("https://rossileiloes.com.br/lote/detalhe/60560", "589")</f>
      </c>
      <c r="B201" s="4" t="s">
        <f>=HYPERLINK("https://rossileiloes.com.br/lote/detalhe/60560", "Lote com: Coleção gibis TEX - ANUAL - Edições 1 a 6 e edição 12")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=HYPERLINK("https://rossileiloes.com.br/lote/detalhe/60562", "590")</f>
      </c>
      <c r="B202" s="4" t="s">
        <f>=HYPERLINK("https://rossileiloes.com.br/lote/detalhe/60562", "Coleção "La escuela del Técnico Mecânico" - 7 volumes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=HYPERLINK("https://rossileiloes.com.br/lote/detalhe/60563", "591")</f>
      </c>
      <c r="B203" s="4" t="s">
        <f>=HYPERLINK("https://rossileiloes.com.br/lote/detalhe/60563", "Torneira antiga em bronze 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50,00</t>
        </is>
      </c>
      <c r="F203" s="4" t="inlineStr">
        <is>
          <t>25.00</t>
        </is>
      </c>
    </row>
    <row collapsed="false" customFormat="false" customHeight="false" hidden="false" ht="12.1" outlineLevel="0" r="204">
      <c r="A204" s="5" t="s">
        <f>=HYPERLINK("https://rossileiloes.com.br/lote/detalhe/60565", "594")</f>
      </c>
      <c r="B204" s="4" t="s">
        <f>=HYPERLINK("https://rossileiloes.com.br/lote/detalhe/60565", "Samovar em metal ( 52 cm - 3,105 kg )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=HYPERLINK("https://rossileiloes.com.br/lote/detalhe/60569", "599")</f>
      </c>
      <c r="B205" s="4" t="s">
        <f>=HYPERLINK("https://rossileiloes.com.br/lote/detalhe/60569", "Coleção " Grande História Universal " - Lacrados - 18 volumes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=HYPERLINK("https://rossileiloes.com.br/lote/detalhe/60668", "601")</f>
      </c>
      <c r="B206" s="4" t="s">
        <f>=HYPERLINK("https://rossileiloes.com.br/lote/detalhe/60668", "Lote com: Talheres antigos déc. 70 - 24 peças")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=HYPERLINK("https://rossileiloes.com.br/lote/detalhe/60680", "606")</f>
      </c>
      <c r="B207" s="4" t="s">
        <f>=HYPERLINK("https://rossileiloes.com.br/lote/detalhe/60680", " Antigo fondue de cobre martelado")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=HYPERLINK("https://rossileiloes.com.br/lote/detalhe/60678", "607")</f>
      </c>
      <c r="B208" s="4" t="s">
        <f>=HYPERLINK("https://rossileiloes.com.br/lote/detalhe/60678", " Lote com Apróx. 2000 livros")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=HYPERLINK("https://rossileiloes.com.br/lote/detalhe/60670", "608")</f>
      </c>
      <c r="B209" s="4" t="s">
        <f>=HYPERLINK("https://rossileiloes.com.br/lote/detalhe/60670", " Rara bicicleta antiga")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=HYPERLINK("https://rossileiloes.com.br/lote/detalhe/60673", "611")</f>
      </c>
      <c r="B210" s="4" t="s">
        <f>=HYPERLINK("https://rossileiloes.com.br/lote/detalhe/60673", " RARO Samovar,EM PRATA 90 IMPORTADO USA - em metal espessurado a prata,37 cm X 18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=HYPERLINK("https://rossileiloes.com.br/lote/detalhe/60675", "612")</f>
      </c>
      <c r="B211" s="4" t="s">
        <f>=HYPERLINK("https://rossileiloes.com.br/lote/detalhe/60675", " Conjunto gradiente ligando aparentemente completo e funcionando sem test no radio tica fitas e vinil")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=HYPERLINK("https://rossileiloes.com.br/lote/detalhe/60679", "613")</f>
      </c>
      <c r="B212" s="4" t="s">
        <f>=HYPERLINK("https://rossileiloes.com.br/lote/detalhe/60679", " Lote com: duas enceradeiras - funcionando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=HYPERLINK("https://rossileiloes.com.br/lote/detalhe/60683", "614")</f>
      </c>
      <c r="B213" s="4" t="s">
        <f>=HYPERLINK("https://rossileiloes.com.br/lote/detalhe/60683", " Enceradeira eletctrolux funcionando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=HYPERLINK("https://rossileiloes.com.br/lote/detalhe/60684", "615")</f>
      </c>
      <c r="B214" s="4" t="s">
        <f>=HYPERLINK("https://rossileiloes.com.br/lote/detalhe/60684", " Lote com: duas enceradeiras - Não funcionam")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=HYPERLINK("https://rossileiloes.com.br/lote/detalhe/60677", "618")</f>
      </c>
      <c r="B215" s="4" t="s">
        <f>=HYPERLINK("https://rossileiloes.com.br/lote/detalhe/60677", " Lote com: 30 Pratos Fundos, 3 Travessas Oval 2 tigelas em marca porcelana rela são Paulo  - fina porcelana branca,  filetados à ouro,  Diâmetro: 22 cm.")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=HYPERLINK("https://rossileiloes.com.br/lote/detalhe/60672", "621")</f>
      </c>
      <c r="B216" s="4" t="s">
        <f>=HYPERLINK("https://rossileiloes.com.br/lote/detalhe/60672", " Candelabro para Três Lumes, em bronze dourado, Dimensões: 38 cm X 40 cm X 10 cm")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=HYPERLINK("https://rossileiloes.com.br/lote/detalhe/60674", "624")</f>
      </c>
      <c r="B217" s="4" t="s">
        <f>=HYPERLINK("https://rossileiloes.com.br/lote/detalhe/60674", " coleçao rara com 360 cards de Basquete (NBA) e 72 cards Marvel, Homem Aranha entre outros.")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=HYPERLINK("https://rossileiloes.com.br/lote/detalhe/60687", "627")</f>
      </c>
      <c r="B218" s="4" t="s">
        <f>=HYPERLINK("https://rossileiloes.com.br/lote/detalhe/60687", " Samovar Russo em bronze Meados do séc. XX .48x27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=HYPERLINK("https://rossileiloes.com.br/lote/detalhe/60686", "628")</f>
      </c>
      <c r="B219" s="4" t="s">
        <f>=HYPERLINK("https://rossileiloes.com.br/lote/detalhe/60686", " jogo  para chá e café em metal espessurado à prata,6 peças. Wolff")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400,00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=HYPERLINK("https://rossileiloes.com.br/lote/detalhe/60705", "629")</f>
      </c>
      <c r="B220" s="4" t="s">
        <f>=HYPERLINK("https://rossileiloes.com.br/lote/detalhe/60705", " Vitrine estilo Luís XV, em madeira nobre,  com aplicações em bronze com chave. 1,80x0,80x0,40 m.")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2.600,00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=HYPERLINK("https://rossileiloes.com.br/lote/detalhe/60691", "630")</f>
      </c>
      <c r="B221" s="4" t="s">
        <f>=HYPERLINK("https://rossileiloes.com.br/lote/detalhe/60691", " Peças em metal com banho de prata, porta confeitos. Altura 7,5 x diâmetro 17 cm. Mini vaso. Altura 5,5 cm")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=HYPERLINK("https://rossileiloes.com.br/lote/detalhe/60703", "631")</f>
      </c>
      <c r="B222" s="4" t="s">
        <f>=HYPERLINK("https://rossileiloes.com.br/lote/detalhe/60703", " Raro Relógio de mesa em bronze. vidro de cristal transparente,à corda. Altura 40 cm, comprimento 37 cm largura 19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=HYPERLINK("https://rossileiloes.com.br/lote/detalhe/60690", "632")</f>
      </c>
      <c r="B223" s="4" t="s">
        <f>=HYPERLINK("https://rossileiloes.com.br/lote/detalhe/60690", " Aparelho de jantar de porcelana tcheca, com 62 peças")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950,00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=HYPERLINK("https://rossileiloes.com.br/lote/detalhe/60699", "633")</f>
      </c>
      <c r="B224" s="4" t="s">
        <f>=HYPERLINK("https://rossileiloes.com.br/lote/detalhe/60699", " jogo para café em aço liso")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=HYPERLINK("https://rossileiloes.com.br/lote/detalhe/60709", "635")</f>
      </c>
      <c r="B225" s="4" t="s">
        <f>=HYPERLINK("https://rossileiloes.com.br/lote/detalhe/60709", " Quatro caixas gigantes com brinquedos aproximadamente 2 mil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=HYPERLINK("https://rossileiloes.com.br/lote/detalhe/60688", "636")</f>
      </c>
      <c r="B226" s="4" t="s">
        <f>=HYPERLINK("https://rossileiloes.com.br/lote/detalhe/60688", " Lote com: Apróx.  1160 cds variados 100 cds fora das capas")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700,00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=HYPERLINK("https://rossileiloes.com.br/lote/detalhe/60712", "637")</f>
      </c>
      <c r="B227" s="4" t="s">
        <f>=HYPERLINK("https://rossileiloes.com.br/lote/detalhe/60712", " Lote com 7 jogos raros master system")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=HYPERLINK("https://rossileiloes.com.br/lote/detalhe/60697", "638")</f>
      </c>
      <c r="B228" s="4" t="s">
        <f>=HYPERLINK("https://rossileiloes.com.br/lote/detalhe/60697", " Lote com Apróx. 1270 cds variados 18cds fora das capas")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800,00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=HYPERLINK("https://rossileiloes.com.br/lote/detalhe/60747", "639")</f>
      </c>
      <c r="B229" s="4" t="s">
        <f>=HYPERLINK("https://rossileiloes.com.br/lote/detalhe/60747", " Lote com 4 jogos raros master system")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=HYPERLINK("https://rossileiloes.com.br/lote/detalhe/60694", "640")</f>
      </c>
      <c r="B230" s="4" t="s">
        <f>=HYPERLINK("https://rossileiloes.com.br/lote/detalhe/60694", " Lote com 2 games de  Nintendo ds, mini game, carregador, 3 cartuchos game boy collor")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=HYPERLINK("https://rossileiloes.com.br/lote/detalhe/60738", "641")</f>
      </c>
      <c r="B231" s="4" t="s">
        <f>=HYPERLINK("https://rossileiloes.com.br/lote/detalhe/60738", " Lote com 4 jogos raros master system")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=HYPERLINK("https://rossileiloes.com.br/lote/detalhe/60719", "643")</f>
      </c>
      <c r="B232" s="4" t="s">
        <f>=HYPERLINK("https://rossileiloes.com.br/lote/detalhe/60719", " Lote com diversos itens antigos,radios,toca fitas etc")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=HYPERLINK("https://rossileiloes.com.br/lote/detalhe/60695", "644")</f>
      </c>
      <c r="B233" s="4" t="s">
        <f>=HYPERLINK("https://rossileiloes.com.br/lote/detalhe/60695", " Maca 1,76 de comp,alt 76,largura 60cm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=HYPERLINK("https://rossileiloes.com.br/lote/detalhe/60736", "645")</f>
      </c>
      <c r="B234" s="4" t="s">
        <f>=HYPERLINK("https://rossileiloes.com.br/lote/detalhe/60736", " Lotes diversos Itens Antigos")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=HYPERLINK("https://rossileiloes.com.br/lote/detalhe/60761", "646")</f>
      </c>
      <c r="B235" s="4" t="s">
        <f>=HYPERLINK("https://rossileiloes.com.br/lote/detalhe/60761", " Caixa de som super potente funcionando 66 cm de altura,largura 40cm")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=HYPERLINK("https://rossileiloes.com.br/lote/detalhe/60756", "648")</f>
      </c>
      <c r="B236" s="4" t="s">
        <f>=HYPERLINK("https://rossileiloes.com.br/lote/detalhe/60756", " secador de mão funcionando")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=HYPERLINK("https://rossileiloes.com.br/lote/detalhe/60745", "649")</f>
      </c>
      <c r="B237" s="4" t="s">
        <f>=HYPERLINK("https://rossileiloes.com.br/lote/detalhe/60745", " Enceradeira Electrolux funcionando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=HYPERLINK("https://rossileiloes.com.br/lote/detalhe/60711", "651")</f>
      </c>
      <c r="B238" s="4" t="s">
        <f>=HYPERLINK("https://rossileiloes.com.br/lote/detalhe/60711", " Enceradeira Electrolux funcionando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=HYPERLINK("https://rossileiloes.com.br/lote/detalhe/60825", "652")</f>
      </c>
      <c r="B239" s="4" t="s">
        <f>=HYPERLINK("https://rossileiloes.com.br/lote/detalhe/60825", " Enceradeira Walita funcionando")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=HYPERLINK("https://rossileiloes.com.br/lote/detalhe/60715", "653")</f>
      </c>
      <c r="B240" s="4" t="s">
        <f>=HYPERLINK("https://rossileiloes.com.br/lote/detalhe/60715", " Enceradeira Electrolux funcionando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=HYPERLINK("https://rossileiloes.com.br/lote/detalhe/60821", "654")</f>
      </c>
      <c r="B241" s="4" t="s">
        <f>=HYPERLINK("https://rossileiloes.com.br/lote/detalhe/60821", " Rara Garrafa com cachaça guardada a mais de 10 anos")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=HYPERLINK("https://rossileiloes.com.br/lote/detalhe/60706", "655")</f>
      </c>
      <c r="B242" s="4" t="s">
        <f>=HYPERLINK("https://rossileiloes.com.br/lote/detalhe/60706", " Gramophone Thomas Homes Phonograph com vinil, fita e radio")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900,00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=HYPERLINK("https://rossileiloes.com.br/lote/detalhe/60708", "657")</f>
      </c>
      <c r="B243" s="4" t="s">
        <f>=HYPERLINK("https://rossileiloes.com.br/lote/detalhe/60708", " Raro jogo de xadrez, importado anos 80, confeccionados em osso na caixa original")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600,00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=HYPERLINK("https://rossileiloes.com.br/lote/detalhe/60827", "658")</f>
      </c>
      <c r="B244" s="4" t="s">
        <f>=HYPERLINK("https://rossileiloes.com.br/lote/detalhe/60827", " Escultura cão boxer, em resina italiana 30/19/12,7 cm")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=HYPERLINK("https://rossileiloes.com.br/lote/detalhe/60765", "659")</f>
      </c>
      <c r="B245" s="4" t="s">
        <f>=HYPERLINK("https://rossileiloes.com.br/lote/detalhe/60765", " Globo que funciona como um bar com espaço para vinho, ou qualquer outro tipo de bebida e taças, importado Itália. com mesa estendida - 100x65x93cm")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1.800,00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=HYPERLINK("https://rossileiloes.com.br/lote/detalhe/60847", "660")</f>
      </c>
      <c r="B246" s="4" t="s">
        <f>=HYPERLINK("https://rossileiloes.com.br/lote/detalhe/60847", " Lote com: 05 cinzeiros vintage dinamarqueses 'HANS JENSEN DENMARK'em metal espessurado a prata 9 cms x 6 cms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=HYPERLINK("https://rossileiloes.com.br/lote/detalhe/60767", "661")</f>
      </c>
      <c r="B247" s="4" t="s">
        <f>=HYPERLINK("https://rossileiloes.com.br/lote/detalhe/60767", " Espada  de coleção replica bárbaros, em metal prateado, em relevo, suporte em madeira para pendura na parede, medindo aproximadamente 110 cm só a espada.")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=HYPERLINK("https://rossileiloes.com.br/lote/detalhe/60841", "662")</f>
      </c>
      <c r="B248" s="4" t="s">
        <f>=HYPERLINK("https://rossileiloes.com.br/lote/detalhe/60841", " Relógio pêndulo capelinha LIGE funcionando a pilha, anos 30. 41cm de altura por 24cm de largura.")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=HYPERLINK("https://rossileiloes.com.br/lote/detalhe/60830", "663")</f>
      </c>
      <c r="B249" s="4" t="s">
        <f>=HYPERLINK("https://rossileiloes.com.br/lote/detalhe/60830", " Lote com: 90 moedas. Sendo 57 de 20 centavos 1978.- 16 de 10 centavos de 1977. -13 de 10 cruzeiros de 1984. -3 de 10 cruzeiros de 1981 .- 1 de 10 cruzeiros de 1991")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=HYPERLINK("https://rossileiloes.com.br/lote/detalhe/60700", "664")</f>
      </c>
      <c r="B250" s="4" t="s">
        <f>=HYPERLINK("https://rossileiloes.com.br/lote/detalhe/60700", " Balança em metal anos 50 com selo da escola de engenharia de juiz de fora 10x35x28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=HYPERLINK("https://rossileiloes.com.br/lote/detalhe/60832", "665")</f>
      </c>
      <c r="B251" s="4" t="s">
        <f>=HYPERLINK("https://rossileiloes.com.br/lote/detalhe/60832", " Lote com: 93 moedas. Sendo 19 de 10 centavos de 1970.- 19 de 5 cruzeiros 1980.- 18 de 1 cruzeiro de 1984.- 13 de 10 centavos de 1976.- 9 de 10 cruzeiros de 1982 .-9 de 5 cruzeiros de 1981 .-7 de 10 centavos de 1985 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=HYPERLINK("https://rossileiloes.com.br/lote/detalhe/60845", "666")</f>
      </c>
      <c r="B252" s="4" t="s">
        <f>=HYPERLINK("https://rossileiloes.com.br/lote/detalhe/60845", " Rara escultura italiana, em marmorite,Med 160 cm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2.500,00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=HYPERLINK("https://rossileiloes.com.br/lote/detalhe/60829", "667")</f>
      </c>
      <c r="B253" s="4" t="s">
        <f>=HYPERLINK("https://rossileiloes.com.br/lote/detalhe/60829", " Lote com:  83 moedas. Sendo  26 de 20 centavos de 1975.- 40 de 20 centavos de 1976.- 12 de 10 cruzeiros de 1983.- 03 de 10 centavos de 1974.- 2 de 10 cruzeiros de 1985")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=HYPERLINK("https://rossileiloes.com.br/lote/detalhe/60828", "669")</f>
      </c>
      <c r="B254" s="4" t="s">
        <f>=HYPERLINK("https://rossileiloes.com.br/lote/detalhe/60828", " Lote com: 76 moedas de 20 centavos de 1978")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=HYPERLINK("https://rossileiloes.com.br/lote/detalhe/60836", "671")</f>
      </c>
      <c r="B255" s="4" t="s">
        <f>=HYPERLINK("https://rossileiloes.com.br/lote/detalhe/60836", " Lote com: 70 moedas de 20 centavos de 1967 em cupro-niquel")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=HYPERLINK("https://rossileiloes.com.br/lote/detalhe/60833", "673")</f>
      </c>
      <c r="B256" s="4" t="s">
        <f>=HYPERLINK("https://rossileiloes.com.br/lote/detalhe/60833", " Lote com: 95 moedas de 20 centavos de 1977 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=HYPERLINK("https://rossileiloes.com.br/lote/detalhe/60850", "674")</f>
      </c>
      <c r="B257" s="4" t="s">
        <f>=HYPERLINK("https://rossileiloes.com.br/lote/detalhe/60850", " mesa de canto anos 70 madeira torneada imbuia - 63/48 cm")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300,00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=HYPERLINK("https://rossileiloes.com.br/lote/detalhe/60834", "675")</f>
      </c>
      <c r="B258" s="4" t="s">
        <f>=HYPERLINK("https://rossileiloes.com.br/lote/detalhe/60834", " Lote com: 120 moedas de 20 centavos de 1970 em cupro-niquel")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=HYPERLINK("https://rossileiloes.com.br/lote/detalhe/60849", "676")</f>
      </c>
      <c r="B259" s="4" t="s">
        <f>=HYPERLINK("https://rossileiloes.com.br/lote/detalhe/60849", " Lustre bronze cravejado com cristais transparentes e lilás, 1 lâmpada. 22x15cm")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=HYPERLINK("https://rossileiloes.com.br/lote/detalhe/60851", "678")</f>
      </c>
      <c r="B260" s="4" t="s">
        <f>=HYPERLINK("https://rossileiloes.com.br/lote/detalhe/60851", " Porta alianças em metal 15 cm de diâmetro, acompanha paliteiro em estanho 12 cm de altura")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=HYPERLINK("https://rossileiloes.com.br/lote/detalhe/60840", "679")</f>
      </c>
      <c r="B261" s="4" t="s">
        <f>=HYPERLINK("https://rossileiloes.com.br/lote/detalhe/60840", " Mesa de centro oriental decorada do 41 cm de altura x 1,03 m x 48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=HYPERLINK("https://rossileiloes.com.br/lote/detalhe/60702", "682")</f>
      </c>
      <c r="B262" s="4" t="s">
        <f>=HYPERLINK("https://rossileiloes.com.br/lote/detalhe/60702", " Ânfora em metal espessurado a prata, Século XX, 37 cm de altura")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=HYPERLINK("https://rossileiloes.com.br/lote/detalhe/60837", "683")</f>
      </c>
      <c r="B263" s="4" t="s">
        <f>=HYPERLINK("https://rossileiloes.com.br/lote/detalhe/60837", " Antigo Cepo de madeira 08 pesos  15 x 9 x 6cm")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=HYPERLINK("https://rossileiloes.com.br/lote/detalhe/60876", "684")</f>
      </c>
      <c r="B264" s="4" t="s">
        <f>=HYPERLINK("https://rossileiloes.com.br/lote/detalhe/60876", " Torso 28cm 10 Partes Assexuado Corpo Humano")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=HYPERLINK("https://rossileiloes.com.br/lote/detalhe/60878", "688")</f>
      </c>
      <c r="B265" s="4" t="s">
        <f>=HYPERLINK("https://rossileiloes.com.br/lote/detalhe/60878", " Tapete importado pele de cordeiro legitimo, cor branca, com forro em algodão,150x100 cm")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=HYPERLINK("https://rossileiloes.com.br/lote/detalhe/60858", "689")</f>
      </c>
      <c r="B266" s="4" t="s">
        <f>=HYPERLINK("https://rossileiloes.com.br/lote/detalhe/60858", " Antigo Trinchante de metal dourado, indiano")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=HYPERLINK("https://rossileiloes.com.br/lote/detalhe/60880", "690")</f>
      </c>
      <c r="B267" s="4" t="s">
        <f>=HYPERLINK("https://rossileiloes.com.br/lote/detalhe/60880", " Antigo gomil em metal espessurado , anos XX, suporte original, com 28 cm de altura e suporte com 30 cm de diâmetro")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=HYPERLINK("https://rossileiloes.com.br/lote/detalhe/60731", "691")</f>
      </c>
      <c r="B268" s="4" t="s">
        <f>=HYPERLINK("https://rossileiloes.com.br/lote/detalhe/60731", " Escultura águia em bronze , suporte em mármore preto: 17x11cm")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=HYPERLINK("https://rossileiloes.com.br/lote/detalhe/60717", "692")</f>
      </c>
      <c r="B269" s="4" t="s">
        <f>=HYPERLINK("https://rossileiloes.com.br/lote/detalhe/60717", " Raro relógio Alemão JUNGHANS de parede em madeira nobre, modelo Cavalinho, funcionando  batidas em meia hora e hora cheia.  100 cm de altura, 35 cm de largura e 18 cm de profundidade.")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2.500,00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=HYPERLINK("https://rossileiloes.com.br/lote/detalhe/60860", "693")</f>
      </c>
      <c r="B270" s="4" t="s">
        <f>=HYPERLINK("https://rossileiloes.com.br/lote/detalhe/60860", "  Kit mini copo para licor em metal, contraste "bandeja com 15 cm de comprimento e 11 cm de largura e copinhos com 4 cm de altura a parte em prata. Copinhos em plástico verde")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=HYPERLINK("https://rossileiloes.com.br/lote/detalhe/60859", "695")</f>
      </c>
      <c r="B271" s="4" t="s">
        <f>=HYPERLINK("https://rossileiloes.com.br/lote/detalhe/60859", " Medalhão em porcelana Japonesa, Século XIX, decoração em ouro, em moldura de madeira com resquícios de folha de ouro. Medalhão de porcelana em excelente estado, 41 cm de diâmetro, Moldura: 70 cm X 70 cm.")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900,00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=HYPERLINK("https://rossileiloes.com.br/lote/detalhe/60882", "696")</f>
      </c>
      <c r="B272" s="4" t="s">
        <f>=HYPERLINK("https://rossileiloes.com.br/lote/detalhe/60882", " Samovar em bronze polido 32 cm de altura.")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=HYPERLINK("https://rossileiloes.com.br/lote/detalhe/60883", "700")</f>
      </c>
      <c r="B273" s="4" t="s">
        <f>=HYPERLINK("https://rossileiloes.com.br/lote/detalhe/60883", " Lote com: Coleção cim 824 fitas cassete e mais 60 cd sem as capas")</f>
      </c>
      <c r="C273" s="4" t="inlineStr">
        <is>
          <t>Vendido</t>
        </is>
      </c>
      <c r="D273" s="4" t="inlineStr">
        <is>
          <t>2</t>
        </is>
      </c>
      <c r="E273" s="5" t="inlineStr">
        <is>
          <t>500,00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=HYPERLINK("https://rossileiloes.com.br/lote/detalhe/60885", "702")</f>
      </c>
      <c r="B274" s="4" t="s">
        <f>=HYPERLINK("https://rossileiloes.com.br/lote/detalhe/60885", " Lote com 55 fitas cassete novas,4 fitas pra filmadora,19 fitas vhs novas 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=HYPERLINK("https://rossileiloes.com.br/lote/detalhe/60854", "703")</f>
      </c>
      <c r="B275" s="4" t="s">
        <f>=HYPERLINK("https://rossileiloes.com.br/lote/detalhe/60854", " Lote com videogames antigos,acessórios,revistas cds,etc ")</f>
      </c>
      <c r="C275" s="4" t="inlineStr">
        <is>
          <t>Vendido</t>
        </is>
      </c>
      <c r="D275" s="4" t="inlineStr">
        <is>
          <t>31</t>
        </is>
      </c>
      <c r="E275" s="5" t="inlineStr">
        <is>
          <t>3.300,00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=HYPERLINK("https://rossileiloes.com.br/lote/detalhe/60887", "704")</f>
      </c>
      <c r="B276" s="4" t="s">
        <f>=HYPERLINK("https://rossileiloes.com.br/lote/detalhe/60887", " Lote com livros de área médica")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=HYPERLINK("https://rossileiloes.com.br/lote/detalhe/60865", "705")</f>
      </c>
      <c r="B277" s="4" t="s">
        <f>=HYPERLINK("https://rossileiloes.com.br/lote/detalhe/60865", " Lote com filmes e desenhos antigos de rolo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=HYPERLINK("https://rossileiloes.com.br/lote/detalhe/60714", "706")</f>
      </c>
      <c r="B278" s="4" t="s">
        <f>=HYPERLINK("https://rossileiloes.com.br/lote/detalhe/60714", " Recuperador de cds,dvds blu ray - tira arranhões - Funcionando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=HYPERLINK("https://rossileiloes.com.br/lote/detalhe/60732", "707")</f>
      </c>
      <c r="B279" s="4" t="s">
        <f>=HYPERLINK("https://rossileiloes.com.br/lote/detalhe/60732", " Lote com: peças  informaticas monitores,cabos, driver,s hd's memorias , etc")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=HYPERLINK("https://rossileiloes.com.br/lote/detalhe/60889", "710")</f>
      </c>
      <c r="B280" s="4" t="s">
        <f>=HYPERLINK("https://rossileiloes.com.br/lote/detalhe/60889", " Cuba antiga em bronze/latão 48/44 cm obs.: esse brilho é original do polimento NÃO é spray dourado.")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=HYPERLINK("https://rossileiloes.com.br/lote/detalhe/60863", "713")</f>
      </c>
      <c r="B281" s="4" t="s">
        <f>=HYPERLINK("https://rossileiloes.com.br/lote/detalhe/60863", " Relógio Olho de Boi - Silco, em madeira, vidro bombê, completo, diâmetro 40 cm, não testado")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=HYPERLINK("https://rossileiloes.com.br/lote/detalhe/60734", "715")</f>
      </c>
      <c r="B282" s="4" t="s">
        <f>=HYPERLINK("https://rossileiloes.com.br/lote/detalhe/60734", " Balde de gelo em madeira  29/18/18 cm 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100,00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=HYPERLINK("https://rossileiloes.com.br/lote/detalhe/60723", "716")</f>
      </c>
      <c r="B283" s="4" t="s">
        <f>=HYPERLINK("https://rossileiloes.com.br/lote/detalhe/60723", " Telefone antigo 33 cm de altura.")</f>
      </c>
      <c r="C283" s="4" t="inlineStr">
        <is>
          <t>Vendido</t>
        </is>
      </c>
      <c r="D283" s="4" t="inlineStr">
        <is>
          <t>2</t>
        </is>
      </c>
      <c r="E283" s="5" t="inlineStr">
        <is>
          <t>450,00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=HYPERLINK("https://rossileiloes.com.br/lote/detalhe/60856", "717")</f>
      </c>
      <c r="B284" s="4" t="s">
        <f>=HYPERLINK("https://rossileiloes.com.br/lote/detalhe/60856", " Lote com 16 insetos empalhados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=HYPERLINK("https://rossileiloes.com.br/lote/detalhe/60721", "718")</f>
      </c>
      <c r="B285" s="4" t="s">
        <f>=HYPERLINK("https://rossileiloes.com.br/lote/detalhe/60721", " Maquina de cortar grama funcionando")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=HYPERLINK("https://rossileiloes.com.br/lote/detalhe/60866", "719")</f>
      </c>
      <c r="B286" s="4" t="s">
        <f>=HYPERLINK("https://rossileiloes.com.br/lote/detalhe/60866", " Lote com: 8 copos colecionáveis - coca cola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=HYPERLINK("https://rossileiloes.com.br/lote/detalhe/60894", "720")</f>
      </c>
      <c r="B287" s="4" t="s">
        <f>=HYPERLINK("https://rossileiloes.com.br/lote/detalhe/60894", " Relógios antigos sem teste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=HYPERLINK("https://rossileiloes.com.br/lote/detalhe/60871", "721")</f>
      </c>
      <c r="B288" s="4" t="s">
        <f>=HYPERLINK("https://rossileiloes.com.br/lote/detalhe/60871", " Escultura em bronze base em mármore 30x10cm")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=HYPERLINK("https://rossileiloes.com.br/lote/detalhe/60892", "722")</f>
      </c>
      <c r="B289" s="4" t="s">
        <f>=HYPERLINK("https://rossileiloes.com.br/lote/detalhe/60892", " Antigo Cinzeiro anos 60 em metal - 13cm")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=HYPERLINK("https://rossileiloes.com.br/lote/detalhe/60868", "723")</f>
      </c>
      <c r="B290" s="4" t="s">
        <f>=HYPERLINK("https://rossileiloes.com.br/lote/detalhe/60868", " Despertador de mesa, anos 70 Herweg 28x23cm")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=HYPERLINK("https://rossileiloes.com.br/lote/detalhe/60873", "725")</f>
      </c>
      <c r="B291" s="4" t="s">
        <f>=HYPERLINK("https://rossileiloes.com.br/lote/detalhe/60873", " Esculturas em madeira nobre - 18cm")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=HYPERLINK("https://rossileiloes.com.br/lote/detalhe/60725", "726")</f>
      </c>
      <c r="B292" s="4" t="s">
        <f>=HYPERLINK("https://rossileiloes.com.br/lote/detalhe/60725", " Galos de rinha em metal prateado, anos 70. 25cm")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=HYPERLINK("https://rossileiloes.com.br/lote/detalhe/60870", "727")</f>
      </c>
      <c r="B293" s="4" t="s">
        <f>=HYPERLINK("https://rossileiloes.com.br/lote/detalhe/60870", " Escultura rara Touro em jacarandá (com avarias)")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=HYPERLINK("https://rossileiloes.com.br/lote/detalhe/60922", "732")</f>
      </c>
      <c r="B294" s="4" t="s">
        <f>=HYPERLINK("https://rossileiloes.com.br/lote/detalhe/60922", " Espingarda decorativa,  120 cm")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=HYPERLINK("https://rossileiloes.com.br/lote/detalhe/60896", "733")</f>
      </c>
      <c r="B295" s="4" t="s">
        <f>=HYPERLINK("https://rossileiloes.com.br/lote/detalhe/60896", " Antigo relógio de parede, feito em madeira  80,0cm x 35,0cm. (Sem uso )")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250,00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=HYPERLINK("https://rossileiloes.com.br/lote/detalhe/60917", "736")</f>
      </c>
      <c r="B296" s="4" t="s">
        <f>=HYPERLINK("https://rossileiloes.com.br/lote/detalhe/60917", "  Relógio Antigo de Parede, cavalinho, máquina duas setas, , funcionando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2.000,00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=HYPERLINK("https://rossileiloes.com.br/lote/detalhe/60908", "737")</f>
      </c>
      <c r="B297" s="4" t="s">
        <f>=HYPERLINK("https://rossileiloes.com.br/lote/detalhe/60908", " JOGO PARA CAFÉ EM PORCELANA BRANCA ESMALTADA, COLEÇÃO MÉDAILLON,BORDA FILETADA A PRATA, CONTEM UM BULE, UMA LEITEIRA, SEIS PRATOS PARA PÃO E SEIS XÍCARAS DE CAFÉ")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250,00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=HYPERLINK("https://rossileiloes.com.br/lote/detalhe/60897", "739")</f>
      </c>
      <c r="B298" s="4" t="s">
        <f>=HYPERLINK("https://rossileiloes.com.br/lote/detalhe/60897", " CENTRO DE MESA  ESPESSURADO A PRATA, DECORADO DE FLORES, FOLHAS E PEROLADOS EM RELEVO. MED. 15 X 40 X14 CM")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400,00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=HYPERLINK("https://rossileiloes.com.br/lote/detalhe/60726", "740")</f>
      </c>
      <c r="B299" s="4" t="s">
        <f>=HYPERLINK("https://rossileiloes.com.br/lote/detalhe/60726", " Jogo de jantar, porcelana Renner branca decorada  Total 32 peças")</f>
      </c>
      <c r="C299" s="4" t="inlineStr">
        <is>
          <t>Não vendido</t>
        </is>
      </c>
      <c r="D299" s="4" t="inlineStr">
        <is>
          <t>1</t>
        </is>
      </c>
      <c r="E299" s="5" t="inlineStr">
        <is>
          <t>450,00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=HYPERLINK("https://rossileiloes.com.br/lote/detalhe/60742", "741")</f>
      </c>
      <c r="B300" s="4" t="s">
        <f>=HYPERLINK("https://rossileiloes.com.br/lote/detalhe/60742", " Licoleiras  demi cristal , bico de jaca. 25,5 cm alt")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150,00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=HYPERLINK("https://rossileiloes.com.br/lote/detalhe/60919", "742")</f>
      </c>
      <c r="B301" s="4" t="s">
        <f>=HYPERLINK("https://rossileiloes.com.br/lote/detalhe/60919", " mesa com 6 cadeiras em jacaranda,com tampo de mármore branco. Cadeiras assentos em palhinha  pés de cachimbo. 6 cadeiras  Tampo mesa 170 cm comp x 75 cm alt x 95 larg")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1.800,00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=HYPERLINK("https://rossileiloes.com.br/lote/detalhe/60899", "743")</f>
      </c>
      <c r="B302" s="4" t="s">
        <f>=HYPERLINK("https://rossileiloes.com.br/lote/detalhe/60899", " Aparelho de porcelana tchecoslováquia, para chá, café e bolo, fundo branco com decoração de flores nos tons coral com cinza e bordas com friso dourado, contendo: 65 pçs")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950,00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=HYPERLINK("https://rossileiloes.com.br/lote/detalhe/60920", "744")</f>
      </c>
      <c r="B303" s="4" t="s">
        <f>=HYPERLINK("https://rossileiloes.com.br/lote/detalhe/60920", " Lote com: 1 travessa para pão prateada e 1 porta bolo prateada BELPRATA ,  33x13,5 cm")</f>
      </c>
      <c r="C303" s="4" t="inlineStr">
        <is>
          <t>Vendido</t>
        </is>
      </c>
      <c r="D303" s="4" t="inlineStr">
        <is>
          <t>1</t>
        </is>
      </c>
      <c r="E303" s="5" t="inlineStr">
        <is>
          <t>150,00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=HYPERLINK("https://rossileiloes.com.br/lote/detalhe/60901", "745")</f>
      </c>
      <c r="B304" s="4" t="s">
        <f>=HYPERLINK("https://rossileiloes.com.br/lote/detalhe/60901", " RELÓGIO MADEIRA MACIÇA,MED: 32,5 X 9 X 18 CM. SEM CHAVE)")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350,00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=HYPERLINK("https://rossileiloes.com.br/lote/detalhe/60818", "746")</f>
      </c>
      <c r="B305" s="4" t="s">
        <f>=HYPERLINK("https://rossileiloes.com.br/lote/detalhe/60818", " CONJUNTO DE CAFÉ E CHÁ EM PORCELANA BRANCA SCHMIDT,  BORDAS FILETADAS A PRATA, DETALHES EM ALTO RELEVO, UM BULE, UMA LEITEIRA, CINCO XÍCARAS DE CHÁ E DUAS XÍCARAS DE CAFÉ. 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350,00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=HYPERLINK("https://rossileiloes.com.br/lote/detalhe/60906", "747")</f>
      </c>
      <c r="B306" s="4" t="s">
        <f>=HYPERLINK("https://rossileiloes.com.br/lote/detalhe/60906", " Lote com: 2 colheres e dosador de drinks e 1 dosador de bebidas. Colheres no estojo original. Prata Wolff, Aurea e Cristofoli. Colheres 24 cm comp")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350,00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=HYPERLINK("https://rossileiloes.com.br/lote/detalhe/60923", "748")</f>
      </c>
      <c r="B307" s="4" t="s">
        <f>=HYPERLINK("https://rossileiloes.com.br/lote/detalhe/60923", "  JOGO DE CHÁ E CAFÉ EM METAL, REDONDO, COM DECORAÇÃO  EM ALTO RELEVO, SENDO DOIS BOWLS (23 X 23 E 21 X 23 CM), LEITEIRA (18,5 X 20 CM) E AÇUCAREIRO (17,5 X 17 CM - MOSSA)")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200,00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=HYPERLINK("https://rossileiloes.com.br/lote/detalhe/60740", "750")</f>
      </c>
      <c r="B308" s="4" t="s">
        <f>=HYPERLINK("https://rossileiloes.com.br/lote/detalhe/60740", " JOGO DE 2 BULES E AÇUCAREIRO MONOGRAMADOS EM METAL ESPESSURADO A PRATA,  DECORADOS COM TRABALHOS DE FOLHAS, FLORES E SULCOS EM RELEVO. PÉS EM PATA. MARCA NA BASE. . BULE MAIOR 23,5 CM")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350,00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=HYPERLINK("https://rossileiloes.com.br/lote/detalhe/60910", "751")</f>
      </c>
      <c r="B309" s="4" t="s">
        <f>=HYPERLINK("https://rossileiloes.com.br/lote/detalhe/60910", " Lote com: 16 vidros para luminaria")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=HYPERLINK("https://rossileiloes.com.br/lote/detalhe/60904", "753")</f>
      </c>
      <c r="B310" s="4" t="s">
        <f>=HYPERLINK("https://rossileiloes.com.br/lote/detalhe/60904", " Lote com: Itens diversos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=HYPERLINK("https://rossileiloes.com.br/lote/detalhe/60794", "754")</f>
      </c>
      <c r="B311" s="4" t="s">
        <f>=HYPERLINK("https://rossileiloes.com.br/lote/detalhe/60794", " Lote com panela Vision e diversos itens")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=HYPERLINK("https://rossileiloes.com.br/lote/detalhe/60798", "755")</f>
      </c>
      <c r="B312" s="4" t="s">
        <f>=HYPERLINK("https://rossileiloes.com.br/lote/detalhe/60798", " Lote com radios disc mans etc")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=HYPERLINK("https://rossileiloes.com.br/lote/detalhe/60787", "756")</f>
      </c>
      <c r="B313" s="4" t="s">
        <f>=HYPERLINK("https://rossileiloes.com.br/lote/detalhe/60787", " Coleção mini craques coca cola 27 bonecos")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=HYPERLINK("https://rossileiloes.com.br/lote/detalhe/60752", "757")</f>
      </c>
      <c r="B314" s="4" t="s">
        <f>=HYPERLINK("https://rossileiloes.com.br/lote/detalhe/60752", " Coleção com 22 fitas  Chaplin")</f>
      </c>
      <c r="C314" s="4" t="inlineStr">
        <is>
          <t>Não vendido</t>
        </is>
      </c>
      <c r="D314" s="4" t="inlineStr">
        <is>
          <t>1</t>
        </is>
      </c>
      <c r="E314" s="5" t="inlineStr">
        <is>
          <t>50,00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=HYPERLINK("https://rossileiloes.com.br/lote/detalhe/60754", "758")</f>
      </c>
      <c r="B315" s="4" t="s">
        <f>=HYPERLINK("https://rossileiloes.com.br/lote/detalhe/60754", " Lote itens antigos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50,00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=HYPERLINK("https://rossileiloes.com.br/lote/detalhe/60792", "759")</f>
      </c>
      <c r="B316" s="4" t="s">
        <f>=HYPERLINK("https://rossileiloes.com.br/lote/detalhe/60792", " Lote com 50 zipers grande 110 zipers pequenos um caso com alfinetes,e dois pés para máquina de costura")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=HYPERLINK("https://rossileiloes.com.br/lote/detalhe/60749", "760")</f>
      </c>
      <c r="B317" s="4" t="s">
        <f>=HYPERLINK("https://rossileiloes.com.br/lote/detalhe/60749", " Tv Antiga década de 80 ligando")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=HYPERLINK("https://rossileiloes.com.br/lote/detalhe/60915", "761")</f>
      </c>
      <c r="B318" s="4" t="s">
        <f>=HYPERLINK("https://rossileiloes.com.br/lote/detalhe/60915", " Carrinho antigo racer turbo")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=HYPERLINK("https://rossileiloes.com.br/lote/detalhe/60771", "762")</f>
      </c>
      <c r="B319" s="4" t="s">
        <f>=HYPERLINK("https://rossileiloes.com.br/lote/detalhe/60771", " Antigo mini laboratório")</f>
      </c>
      <c r="C319" s="4" t="inlineStr">
        <is>
          <t>Vendido</t>
        </is>
      </c>
      <c r="D319" s="4" t="inlineStr">
        <is>
          <t>3</t>
        </is>
      </c>
      <c r="E319" s="5" t="inlineStr">
        <is>
          <t>200,00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=HYPERLINK("https://rossileiloes.com.br/lote/detalhe/60758", "763")</f>
      </c>
      <c r="B320" s="4" t="s">
        <f>=HYPERLINK("https://rossileiloes.com.br/lote/detalhe/60758", " Carrinho antigo lp 5000  sem teste")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=HYPERLINK("https://rossileiloes.com.br/lote/detalhe/60768", "764")</f>
      </c>
      <c r="B321" s="4" t="s">
        <f>=HYPERLINK("https://rossileiloes.com.br/lote/detalhe/60768", " Rara vitrolinha syphonic sem testes")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=HYPERLINK("https://rossileiloes.com.br/lote/detalhe/60770", "765")</f>
      </c>
      <c r="B322" s="4" t="s">
        <f>=HYPERLINK("https://rossileiloes.com.br/lote/detalhe/60770", " Lote com: calculadoras antigas - 29 itens")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=HYPERLINK("https://rossileiloes.com.br/lote/detalhe/60813", "766")</f>
      </c>
      <c r="B323" s="4" t="s">
        <f>=HYPERLINK("https://rossileiloes.com.br/lote/detalhe/60813", " Joytisc para pc")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=HYPERLINK("https://rossileiloes.com.br/lote/detalhe/60796", "767")</f>
      </c>
      <c r="B324" s="4" t="s">
        <f>=HYPERLINK("https://rossileiloes.com.br/lote/detalhe/60796", " Videogame Atari sem teste")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=HYPERLINK("https://rossileiloes.com.br/lote/detalhe/60811", "768")</f>
      </c>
      <c r="B325" s="4" t="s">
        <f>=HYPERLINK("https://rossileiloes.com.br/lote/detalhe/60811", " Rádio com relogio sharp década de 80")</f>
      </c>
      <c r="C325" s="4" t="inlineStr">
        <is>
          <t>Vendido</t>
        </is>
      </c>
      <c r="D325" s="4" t="inlineStr">
        <is>
          <t>1</t>
        </is>
      </c>
      <c r="E325" s="5" t="inlineStr">
        <is>
          <t>100,00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=HYPERLINK("https://rossileiloes.com.br/lote/detalhe/60801", "769")</f>
      </c>
      <c r="B326" s="4" t="s">
        <f>=HYPERLINK("https://rossileiloes.com.br/lote/detalhe/60801", " Dois termômetros werkprufschein")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=HYPERLINK("https://rossileiloes.com.br/lote/detalhe/60816", "770")</f>
      </c>
      <c r="B327" s="4" t="s">
        <f>=HYPERLINK("https://rossileiloes.com.br/lote/detalhe/60816", " Forte apache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300,00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=HYPERLINK("https://rossileiloes.com.br/lote/detalhe/60807", "771")</f>
      </c>
      <c r="B328" s="4" t="s">
        <f>=HYPERLINK("https://rossileiloes.com.br/lote/detalhe/60807", " Lote com : perucas , cabelos, enfeites, bijouterias, relogios, etc")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=HYPERLINK("https://rossileiloes.com.br/lote/detalhe/60902", "772")</f>
      </c>
      <c r="B329" s="4" t="s">
        <f>=HYPERLINK("https://rossileiloes.com.br/lote/detalhe/60902", " Lote com: peças de  geladeiras antigas - 12 itens")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=HYPERLINK("https://rossileiloes.com.br/lote/detalhe/60763", "773")</f>
      </c>
      <c r="B330" s="4" t="s">
        <f>=HYPERLINK("https://rossileiloes.com.br/lote/detalhe/60763", " Lote com: livros infantis - varios títulos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100,00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=HYPERLINK("https://rossileiloes.com.br/lote/detalhe/60912", "774")</f>
      </c>
      <c r="B331" s="4" t="s">
        <f>=HYPERLINK("https://rossileiloes.com.br/lote/detalhe/60912", " Lote com: 16 cartuchos - Nintendo 64")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400,00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=HYPERLINK("https://rossileiloes.com.br/lote/detalhe/60814", "775")</f>
      </c>
      <c r="B332" s="4" t="s">
        <f>=HYPERLINK("https://rossileiloes.com.br/lote/detalhe/60814", " Lote com dvds Conversores dvds, receivers vídeos cassetes")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400,00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=HYPERLINK("https://rossileiloes.com.br/lote/detalhe/60819", "776")</f>
      </c>
      <c r="B333" s="4" t="s">
        <f>=HYPERLINK("https://rossileiloes.com.br/lote/detalhe/60819", " Terno importado italia, séc XIX, em alabastro, partes  em bronze dourado, 1 centro de mesa-floreira,  um par de castiçais pra duas velas representando Arpas. Med 17x30 cm (Centro de mesa) e 35x20 cm( Castiçais).")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900,00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=HYPERLINK("https://rossileiloes.com.br/lote/detalhe/60925", "777")</f>
      </c>
      <c r="B334" s="4" t="s">
        <f>=HYPERLINK("https://rossileiloes.com.br/lote/detalhe/60925", " Candelabro importado para 5 velas em ferro fundido patina dourada coluna com trabalhos em vazados e bordas retorcidas e pés recurvos medindo 1,85 x 70 cm")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400,00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=HYPERLINK("https://rossileiloes.com.br/lote/detalhe/60773", "778")</f>
      </c>
      <c r="B335" s="4" t="s">
        <f>=HYPERLINK("https://rossileiloes.com.br/lote/detalhe/60773", " Jogo de cha importado MADE IN JAPAN  Oriental pintada à mão,   total de 12 peças")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400,00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=HYPERLINK("https://rossileiloes.com.br/lote/detalhe/60788", "779")</f>
      </c>
      <c r="B336" s="4" t="s">
        <f>=HYPERLINK("https://rossileiloes.com.br/lote/detalhe/60788", " Lote com: 4 Pratos para Bolo importados Orientais, em porcelana branca  casca de ovo, pintados à mão,  Diâmetro: 17 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=HYPERLINK("https://rossileiloes.com.br/lote/detalhe/60782", "780")</f>
      </c>
      <c r="B337" s="4" t="s">
        <f>=HYPERLINK("https://rossileiloes.com.br/lote/detalhe/60782", " Lote com: 10 antigas xícaras para café, em metal, com recipientes em porcelana filetada a prata.  dois conjunto, um com 4 e outro com 6 peças")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=HYPERLINK("https://rossileiloes.com.br/lote/detalhe/60799", "781")</f>
      </c>
      <c r="B338" s="4" t="s">
        <f>=HYPERLINK("https://rossileiloes.com.br/lote/detalhe/60799", " Conjunto licoreiro francês, séc XIX , em cristal Saint Louis  tom azul, finamente lavrados. em metal espessurado a prata  cinzelada, 4 pés Med 22x31x12 cm. 1 taça colada.")</f>
      </c>
      <c r="C338" s="4" t="inlineStr">
        <is>
          <t>Vendido</t>
        </is>
      </c>
      <c r="D338" s="4" t="inlineStr">
        <is>
          <t>2</t>
        </is>
      </c>
      <c r="E338" s="5" t="inlineStr">
        <is>
          <t>450,00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=HYPERLINK("https://rossileiloes.com.br/lote/detalhe/60803", "783")</f>
      </c>
      <c r="B339" s="4" t="s">
        <f>=HYPERLINK("https://rossileiloes.com.br/lote/detalhe/60803", " Garrafa para Whisky, em cristal translucido, lavrada e lapidada. Med 26 cm.")</f>
      </c>
      <c r="C339" s="4" t="inlineStr">
        <is>
          <t>Vendido</t>
        </is>
      </c>
      <c r="D339" s="4" t="inlineStr">
        <is>
          <t>1</t>
        </is>
      </c>
      <c r="E339" s="5" t="inlineStr">
        <is>
          <t>150,00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=HYPERLINK("https://rossileiloes.com.br/lote/detalhe/60776", "784")</f>
      </c>
      <c r="B340" s="4" t="s">
        <f>=HYPERLINK("https://rossileiloes.com.br/lote/detalhe/60776", " Doceira francesa em metal espessurado a prata e vidro mão azul cobalto. 32 cm de altura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400,00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=HYPERLINK("https://rossileiloes.com.br/lote/detalhe/60805", "785")</f>
      </c>
      <c r="B341" s="4" t="s">
        <f>=HYPERLINK("https://rossileiloes.com.br/lote/detalhe/60805", " Jogo para chá japonês, porcelana casca de ovo,  Constando 1 leiteira, 4 pratos par bolo e 11 xícaras (1 quebrada))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600,00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=HYPERLINK("https://rossileiloes.com.br/lote/detalhe/60778", "786")</f>
      </c>
      <c r="B342" s="4" t="s">
        <f>=HYPERLINK("https://rossileiloes.com.br/lote/detalhe/60778", " Adaga turca de coleção em bronze dourado, aplicação de Pedra.  bainha no mesmo padrão. Peça marcada.28 cm")</f>
      </c>
      <c r="C342" s="4" t="inlineStr">
        <is>
          <t>Vendido</t>
        </is>
      </c>
      <c r="D342" s="4" t="inlineStr">
        <is>
          <t>1</t>
        </is>
      </c>
      <c r="E342" s="5" t="inlineStr">
        <is>
          <t>150,00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=HYPERLINK("https://rossileiloes.com.br/lote/detalhe/60779", "789")</f>
      </c>
      <c r="B343" s="4" t="s">
        <f>=HYPERLINK("https://rossileiloes.com.br/lote/detalhe/60779", " RELÓGIO AMERICANO,  SESSIONS ÁGUIA EM BRONZE,  BASE DE MADEIRA. ALTURA DE 26,5 CM")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400,00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=HYPERLINK("https://rossileiloes.com.br/lote/detalhe/60791", "790")</f>
      </c>
      <c r="B344" s="4" t="s">
        <f>=HYPERLINK("https://rossileiloes.com.br/lote/detalhe/60791", " SAMOVAR EM METAL ESPESSURADO A PRATA. 25 CM")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500,00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=HYPERLINK("https://rossileiloes.com.br/lote/detalhe/60781", "791")</f>
      </c>
      <c r="B345" s="4" t="s">
        <f>=HYPERLINK("https://rossileiloes.com.br/lote/detalhe/60781", " Relógio de parede alemão, em madeira nobre, 47x28x10 cm")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400,00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=HYPERLINK("https://rossileiloes.com.br/lote/detalhe/60786", "792")</f>
      </c>
      <c r="B346" s="4" t="s">
        <f>=HYPERLINK("https://rossileiloes.com.br/lote/detalhe/60786", " Antigo conjunto galheteiro, ANOS 40, em cerâmica vitrificada  1 bandeja, 1 molheira, 1 galeta, 1 saleiro, 1 pimenteiro. Total 4 peças. Peças marcadas ao fundo. Med.: 6 a 26x20 cm")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200,00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=HYPERLINK("https://rossileiloes.com.br/lote/detalhe/60809", "795")</f>
      </c>
      <c r="B347" s="4" t="s">
        <f>=HYPERLINK("https://rossileiloes.com.br/lote/detalhe/60809", " Balança fizola de 150 quilos funcionando")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=HYPERLINK("https://rossileiloes.com.br/lote/detalhe/60790", "796")</f>
      </c>
      <c r="B348" s="4" t="s">
        <f>=HYPERLINK("https://rossileiloes.com.br/lote/detalhe/60790", " Balança welmy de 300 quilos")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250,00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=HYPERLINK("https://rossileiloes.com.br/lote/detalhe/60784", "797")</f>
      </c>
      <c r="B349" s="4" t="s">
        <f>=HYPERLINK("https://rossileiloes.com.br/lote/detalhe/60784", " Escultura Leão, em madeira nobre,10x22 cm.")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250,00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=HYPERLINK("https://rossileiloes.com.br/lote/detalhe/60982", "800")</f>
      </c>
      <c r="B350" s="4" t="s">
        <f>=HYPERLINK("https://rossileiloes.com.br/lote/detalhe/60982", " Raro carrinho musical estrela - Funcionando ( 23 x 17cm) 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=HYPERLINK("https://rossileiloes.com.br/lote/detalhe/60931", "802")</f>
      </c>
      <c r="B351" s="4" t="s">
        <f>=HYPERLINK("https://rossileiloes.com.br/lote/detalhe/60931", " Miniaturas de conjunto em porcelana - 2 ânforas , 2 jarras e 1 xícara 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=HYPERLINK("https://rossileiloes.com.br/lote/detalhe/60927", "803")</f>
      </c>
      <c r="B352" s="4" t="s">
        <f>=HYPERLINK("https://rossileiloes.com.br/lote/detalhe/60927", " Mesa de centro em jacarandá estilo chipandelli - ( 45 x 45 x 80 cm) ")</f>
      </c>
      <c r="C352" s="4" t="inlineStr">
        <is>
          <t>Vendido</t>
        </is>
      </c>
      <c r="D352" s="4" t="inlineStr">
        <is>
          <t>1</t>
        </is>
      </c>
      <c r="E352" s="5" t="inlineStr">
        <is>
          <t>400,00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=HYPERLINK("https://rossileiloes.com.br/lote/detalhe/60936", "805")</f>
      </c>
      <c r="B353" s="4" t="s">
        <f>=HYPERLINK("https://rossileiloes.com.br/lote/detalhe/60936", " Raro faqueiro completo com talheres para peixe em prata 90 Wolff dos anos 60, original.  130 peças.")</f>
      </c>
      <c r="C353" s="4" t="inlineStr">
        <is>
          <t>Vendido</t>
        </is>
      </c>
      <c r="D353" s="4" t="inlineStr">
        <is>
          <t>2</t>
        </is>
      </c>
      <c r="E353" s="5" t="inlineStr">
        <is>
          <t>950,00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=HYPERLINK("https://rossileiloes.com.br/lote/detalhe/60954", "806")</f>
      </c>
      <c r="B354" s="4" t="s">
        <f>=HYPERLINK("https://rossileiloes.com.br/lote/detalhe/60954", " Relógio americano de parede em madeira")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700,00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=HYPERLINK("https://rossileiloes.com.br/lote/detalhe/60930", "807")</f>
      </c>
      <c r="B355" s="4" t="s">
        <f>=HYPERLINK("https://rossileiloes.com.br/lote/detalhe/60930", " Namoradeira  em jacarandá maciça, antiguidade ( 0,90  x 2.00 x 0,45cm - braço pouco bambo)")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600,00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=HYPERLINK("https://rossileiloes.com.br/lote/detalhe/60943", "808")</f>
      </c>
      <c r="B356" s="4" t="s">
        <f>=HYPERLINK("https://rossileiloes.com.br/lote/detalhe/60943", " Rara poltrona, de  madeira nobre maciça.( 90 cm x 100 cm x 66 cm -  otimo estado.)")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900,00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=HYPERLINK("https://rossileiloes.com.br/lote/detalhe/60977", "810")</f>
      </c>
      <c r="B357" s="4" t="s">
        <f>=HYPERLINK("https://rossileiloes.com.br/lote/detalhe/60977", " Lote com: 250 formas de diverso tamanhos novas e usadas")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500,00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=HYPERLINK("https://rossileiloes.com.br/lote/detalhe/60983", "811")</f>
      </c>
      <c r="B358" s="4" t="s">
        <f>=HYPERLINK("https://rossileiloes.com.br/lote/detalhe/60983", " Lote com: 8 Baldes de gelo  inoxidável. Diâmetro médio 21 cm. com 3 pegadores")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450,00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=HYPERLINK("https://rossileiloes.com.br/lote/detalhe/60949", "813")</f>
      </c>
      <c r="B359" s="4" t="s">
        <f>=HYPERLINK("https://rossileiloes.com.br/lote/detalhe/60949", " Lote com: 250 formas de diverso tamanhos novas e usadas")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500,00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=HYPERLINK("https://rossileiloes.com.br/lote/detalhe/60981", "814")</f>
      </c>
      <c r="B360" s="4" t="s">
        <f>=HYPERLINK("https://rossileiloes.com.br/lote/detalhe/60981", " Lote com: 250 formas de diverso tamanhos novas e usadas")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500,00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=HYPERLINK("https://rossileiloes.com.br/lote/detalhe/60976", "815")</f>
      </c>
      <c r="B361" s="4" t="s">
        <f>=HYPERLINK("https://rossileiloes.com.br/lote/detalhe/60976", " Lote com: 130 formas de diverso tamanhos novas e usadas")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400,00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=HYPERLINK("https://rossileiloes.com.br/lote/detalhe/60962", "816")</f>
      </c>
      <c r="B362" s="4" t="s">
        <f>=HYPERLINK("https://rossileiloes.com.br/lote/detalhe/60962", " Antiga máquina fotográfica AGF - Sem teste")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200,00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=HYPERLINK("https://rossileiloes.com.br/lote/detalhe/60974", "818")</f>
      </c>
      <c r="B363" s="4" t="s">
        <f>=HYPERLINK("https://rossileiloes.com.br/lote/detalhe/60974", " Antigo telefone de madeira e metal, 78cm de altura")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700,00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=HYPERLINK("https://rossileiloes.com.br/lote/detalhe/60926", "819")</f>
      </c>
      <c r="B364" s="4" t="s">
        <f>=HYPERLINK("https://rossileiloes.com.br/lote/detalhe/60926", " Rara cadeira Savanarola  tamanho 93x55x75cm")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900,00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=HYPERLINK("https://rossileiloes.com.br/lote/detalhe/60957", "820")</f>
      </c>
      <c r="B365" s="4" t="s">
        <f>=HYPERLINK("https://rossileiloes.com.br/lote/detalhe/60957", " Balança de ourives, tamanho 50X40X28cm")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300,00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=HYPERLINK("https://rossileiloes.com.br/lote/detalhe/60975", "822")</f>
      </c>
      <c r="B366" s="4" t="s">
        <f>=HYPERLINK("https://rossileiloes.com.br/lote/detalhe/60975", " Lote com: 3 bandejas metal espessurado à prata - 39 cm")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350,00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=HYPERLINK("https://rossileiloes.com.br/lote/detalhe/60953", "823")</f>
      </c>
      <c r="B367" s="4" t="s">
        <f>=HYPERLINK("https://rossileiloes.com.br/lote/detalhe/60953", " Mesa de centro em madeira embuia 45x79x44cm")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350,00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=HYPERLINK("https://rossileiloes.com.br/lote/detalhe/60942", "824")</f>
      </c>
      <c r="B368" s="4" t="s">
        <f>=HYPERLINK("https://rossileiloes.com.br/lote/detalhe/60942", " Jogo com Bowl  e bandeja fracalanza - 14x33 cm  Bandeja  53x36 cm")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150,00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=HYPERLINK("https://rossileiloes.com.br/lote/detalhe/60964", "825")</f>
      </c>
      <c r="B369" s="4" t="s">
        <f>=HYPERLINK("https://rossileiloes.com.br/lote/detalhe/60964", " Lote com: 4 travessas fundas em inox - 03x26x20 cm maior e 03x20x13 cm menor")</f>
      </c>
      <c r="C369" s="4" t="inlineStr">
        <is>
          <t>Vendido</t>
        </is>
      </c>
      <c r="D369" s="4" t="inlineStr">
        <is>
          <t>1</t>
        </is>
      </c>
      <c r="E369" s="5" t="inlineStr">
        <is>
          <t>100,00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=HYPERLINK("https://rossileiloes.com.br/lote/detalhe/60951", "826")</f>
      </c>
      <c r="B370" s="4" t="s">
        <f>=HYPERLINK("https://rossileiloes.com.br/lote/detalhe/60951", " Balança anos 70 feita de madeira , com guarnições em metal dourado com Termômetro embutido funcionando. 20x18 cm")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=HYPERLINK("https://rossileiloes.com.br/lote/detalhe/60966", "827")</f>
      </c>
      <c r="B371" s="4" t="s">
        <f>=HYPERLINK("https://rossileiloes.com.br/lote/detalhe/60966", " Lote com: duas floreiras marroquinas, bronze dourado, altura 25 cm")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200,00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=HYPERLINK("https://rossileiloes.com.br/lote/detalhe/60933", "828")</f>
      </c>
      <c r="B372" s="4" t="s">
        <f>=HYPERLINK("https://rossileiloes.com.br/lote/detalhe/60933", " Imagem, em jacarandá maciço, entalhada a mão, Cristo.30x25 cm")</f>
      </c>
      <c r="C372" s="4" t="inlineStr">
        <is>
          <t>Vendido</t>
        </is>
      </c>
      <c r="D372" s="4" t="inlineStr">
        <is>
          <t>2</t>
        </is>
      </c>
      <c r="E372" s="5" t="inlineStr">
        <is>
          <t>400,00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=HYPERLINK("https://rossileiloes.com.br/lote/detalhe/60945", "829")</f>
      </c>
      <c r="B373" s="4" t="s">
        <f>=HYPERLINK("https://rossileiloes.com.br/lote/detalhe/60945", " Jogo de chá europeia, em metal espessurado a prata 2 bules, 1 açucareiro, 1 tea cad, 1 cremeira. Med.: 15 a 25 cm")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300,00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=HYPERLINK("https://rossileiloes.com.br/lote/detalhe/60952", "830")</f>
      </c>
      <c r="B374" s="4" t="s">
        <f>=HYPERLINK("https://rossileiloes.com.br/lote/detalhe/60952", " Lote com: 2  enfeites metal espessurado a prata, 11x/5 cm")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200,00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=HYPERLINK("https://rossileiloes.com.br/lote/detalhe/60928", "831")</f>
      </c>
      <c r="B375" s="4" t="s">
        <f>=HYPERLINK("https://rossileiloes.com.br/lote/detalhe/60928", " Relógio Technos Classic Steel, NUNCA USADO na embalagem original")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200,00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=HYPERLINK("https://rossileiloes.com.br/lote/detalhe/60967", "832")</f>
      </c>
      <c r="B376" s="4" t="s">
        <f>=HYPERLINK("https://rossileiloes.com.br/lote/detalhe/60967", " Antiga garrucha decorativa em madeira e bronze - 30cm 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=HYPERLINK("https://rossileiloes.com.br/lote/detalhe/60959", "833")</f>
      </c>
      <c r="B377" s="4" t="s">
        <f>=HYPERLINK("https://rossileiloes.com.br/lote/detalhe/60959", " Relógio Technos Executive , pulseira com alongador de aço e dourado, novo com manual")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250,00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=HYPERLINK("https://rossileiloes.com.br/lote/detalhe/60947", "834")</f>
      </c>
      <c r="B378" s="4" t="s">
        <f>=HYPERLINK("https://rossileiloes.com.br/lote/detalhe/60947", " Faqueiro de talheres, dourado, 40 peças,")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250,00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=HYPERLINK("https://rossileiloes.com.br/lote/detalhe/60989", "835")</f>
      </c>
      <c r="B379" s="4" t="s">
        <f>=HYPERLINK("https://rossileiloes.com.br/lote/detalhe/60989", " Esculturas de bronze Faisão 32 cm de comprimento")</f>
      </c>
      <c r="C379" s="4" t="inlineStr">
        <is>
          <t>Vendido</t>
        </is>
      </c>
      <c r="D379" s="4" t="inlineStr">
        <is>
          <t>1</t>
        </is>
      </c>
      <c r="E379" s="5" t="inlineStr">
        <is>
          <t>250,00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=HYPERLINK("https://rossileiloes.com.br/lote/detalhe/60937", "836")</f>
      </c>
      <c r="B380" s="4" t="s">
        <f>=HYPERLINK("https://rossileiloes.com.br/lote/detalhe/60937", " Par de Castiçais, inglês, de metal, 29 cm de altura.")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=HYPERLINK("https://rossileiloes.com.br/lote/detalhe/60985", "837")</f>
      </c>
      <c r="B381" s="4" t="s">
        <f>=HYPERLINK("https://rossileiloes.com.br/lote/detalhe/60985", " Relógio Seiko, dourado, 100 m, com extensão da pulseira, sem uso")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250,00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=HYPERLINK("https://rossileiloes.com.br/lote/detalhe/60992", "839")</f>
      </c>
      <c r="B382" s="4" t="s">
        <f>=HYPERLINK("https://rossileiloes.com.br/lote/detalhe/60992", " Candelabros, Ingleses, em cobre banho de prata,  podem ser usados como castiçal, partes removíveis (46cm x 41cm). 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900,00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=HYPERLINK("https://rossileiloes.com.br/lote/detalhe/60965", "841")</f>
      </c>
      <c r="B383" s="4" t="s">
        <f>=HYPERLINK("https://rossileiloes.com.br/lote/detalhe/60965", " lote com: 26 peças diversas espessurada à prata. maior mede 16 cm.")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=HYPERLINK("https://rossileiloes.com.br/lote/detalhe/60944", "842")</f>
      </c>
      <c r="B384" s="4" t="s">
        <f>=HYPERLINK("https://rossileiloes.com.br/lote/detalhe/60944", " Lote com: peças diversas em bronze e metal dourado.  vários tamanhos Altura da maior: 34 cm. Bule - aparentemente em cobre. 36 cm.")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=HYPERLINK("https://rossileiloes.com.br/lote/detalhe/60991", "843")</f>
      </c>
      <c r="B385" s="4" t="s">
        <f>=HYPERLINK("https://rossileiloes.com.br/lote/detalhe/60991", " Fruteira espessurada à prata. 31 x 27 cm. Cálice espessurado à prata. 27 cm")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150,00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=HYPERLINK("https://rossileiloes.com.br/lote/detalhe/60948", "844")</f>
      </c>
      <c r="B386" s="4" t="s">
        <f>=HYPERLINK("https://rossileiloes.com.br/lote/detalhe/60948", " Lote com: 20 peças diversas espessuradas à prata. varios tamanhos - maior 28 cm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400,00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=HYPERLINK("https://rossileiloes.com.br/lote/detalhe/60986", "845")</f>
      </c>
      <c r="B387" s="4" t="s">
        <f>=HYPERLINK("https://rossileiloes.com.br/lote/detalhe/60986", "  Lote com diversos itens de informática com impressoras")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250,00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=HYPERLINK("https://rossileiloes.com.br/lote/detalhe/60972", "846")</f>
      </c>
      <c r="B388" s="4" t="s">
        <f>=HYPERLINK("https://rossileiloes.com.br/lote/detalhe/60972", " Corrente prata 925")</f>
      </c>
      <c r="C388" s="4" t="inlineStr">
        <is>
          <t>Não vendido</t>
        </is>
      </c>
      <c r="D388" s="4" t="inlineStr">
        <is>
          <t>1</t>
        </is>
      </c>
      <c r="E388" s="5" t="inlineStr">
        <is>
          <t>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=HYPERLINK("https://rossileiloes.com.br/lote/detalhe/60973", "847")</f>
      </c>
      <c r="B389" s="4" t="s">
        <f>=HYPERLINK("https://rossileiloes.com.br/lote/detalhe/60973", " Castiçal candelabro importado em metal tamanho,28 x 20cm")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=HYPERLINK("https://rossileiloes.com.br/lote/detalhe/60935", "848")</f>
      </c>
      <c r="B390" s="4" t="s">
        <f>=HYPERLINK("https://rossileiloes.com.br/lote/detalhe/60935", " Raro projetor Viewlex importado USA- conservado, ligando - maleta original.  Mede 36 x 23 x 13cm.")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250,00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=HYPERLINK("https://rossileiloes.com.br/lote/detalhe/60956", "849")</f>
      </c>
      <c r="B391" s="4" t="s">
        <f>=HYPERLINK("https://rossileiloes.com.br/lote/detalhe/60956", " Jogo de talheres importados japao banhados a ouro, são 139 peças sendo 10 jogos de talheres com 12 unidades cada, 01 jogo com 11 facas de sobremesa e 8 de serviços. Produto conservado, antigo, apresenta pouco desgaste. acompanha 12 embalagens de 6 unidades. Restante todos embalados individualmente.")</f>
      </c>
      <c r="C391" s="4" t="inlineStr">
        <is>
          <t>Vendido</t>
        </is>
      </c>
      <c r="D391" s="4" t="inlineStr">
        <is>
          <t>1</t>
        </is>
      </c>
      <c r="E391" s="5" t="inlineStr">
        <is>
          <t>900,00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=HYPERLINK("https://rossileiloes.com.br/lote/detalhe/60958", "850")</f>
      </c>
      <c r="B392" s="4" t="s">
        <f>=HYPERLINK("https://rossileiloes.com.br/lote/detalhe/60958", " duas colheres de parede  em madeira 56cm")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80,00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=HYPERLINK("https://rossileiloes.com.br/lote/detalhe/60971", "851")</f>
      </c>
      <c r="B393" s="4" t="s">
        <f>=HYPERLINK("https://rossileiloes.com.br/lote/detalhe/60971", " Medalhão em metal - Com detalhes em alto relevo")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100,00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=HYPERLINK("https://rossileiloes.com.br/lote/detalhe/60938", "852")</f>
      </c>
      <c r="B394" s="4" t="s">
        <f>=HYPERLINK("https://rossileiloes.com.br/lote/detalhe/60938", " Lote com: diversos itens antigos coleção,canetas, isqueiros,notas,moedas,abridores,abajur etc")</f>
      </c>
      <c r="C394" s="4" t="inlineStr">
        <is>
          <t>Vendido</t>
        </is>
      </c>
      <c r="D394" s="4" t="inlineStr">
        <is>
          <t>4</t>
        </is>
      </c>
      <c r="E394" s="5" t="inlineStr">
        <is>
          <t>300,00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=HYPERLINK("https://rossileiloes.com.br/lote/detalhe/60963", "853")</f>
      </c>
      <c r="B395" s="4" t="s">
        <f>=HYPERLINK("https://rossileiloes.com.br/lote/detalhe/60963", " Lote com: canetas de tintas antigas canivete  déc de 80,mais itens escolares")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=HYPERLINK("https://rossileiloes.com.br/lote/detalhe/60950", "854")</f>
      </c>
      <c r="B396" s="4" t="s">
        <f>=HYPERLINK("https://rossileiloes.com.br/lote/detalhe/60950", " Lote com: pranchas e secador - funcionando ")</f>
      </c>
      <c r="C396" s="4" t="inlineStr">
        <is>
          <t>Vendido</t>
        </is>
      </c>
      <c r="D396" s="4" t="inlineStr">
        <is>
          <t>1</t>
        </is>
      </c>
      <c r="E396" s="5" t="inlineStr">
        <is>
          <t>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=HYPERLINK("https://rossileiloes.com.br/lote/detalhe/60961", "855")</f>
      </c>
      <c r="B397" s="4" t="s">
        <f>=HYPERLINK("https://rossileiloes.com.br/lote/detalhe/60961", " Lote com: carregador antigo de pilhas,e rebobinadores de fitas de vhs e  canteadeira antiga 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=HYPERLINK("https://rossileiloes.com.br/lote/detalhe/60941", "856")</f>
      </c>
      <c r="B398" s="4" t="s">
        <f>=HYPERLINK("https://rossileiloes.com.br/lote/detalhe/60941", " Apontador de lápis antigo - funcionando")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=HYPERLINK("https://rossileiloes.com.br/lote/detalhe/60993", "857")</f>
      </c>
      <c r="B399" s="4" t="s">
        <f>=HYPERLINK("https://rossileiloes.com.br/lote/detalhe/60993", " Escultura em madeira maciça - pantera  160 cm de comprimento,  65 cm de altura.")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3.500,00</t>
        </is>
      </c>
      <c r="F399" s="4" t="inlineStr">
        <is>
          <t>250.00</t>
        </is>
      </c>
    </row>
    <row collapsed="false" customFormat="false" customHeight="false" hidden="false" ht="12.1" outlineLevel="0" r="400">
      <c r="A400" s="5" t="s">
        <f>=HYPERLINK("https://rossileiloes.com.br/lote/detalhe/60940", "858")</f>
      </c>
      <c r="B400" s="4" t="s">
        <f>=HYPERLINK("https://rossileiloes.com.br/lote/detalhe/60940", " Escultura em madeira nobre de leão.  220 cm de comprimento,  95 cm de altura. Peso  - 500 kg")</f>
      </c>
      <c r="C400" s="4" t="inlineStr">
        <is>
          <t>Não vendido</t>
        </is>
      </c>
      <c r="D400" s="4" t="inlineStr">
        <is>
          <t>1</t>
        </is>
      </c>
      <c r="E400" s="5" t="inlineStr">
        <is>
          <t>5.000,00</t>
        </is>
      </c>
      <c r="F400" s="4" t="inlineStr">
        <is>
          <t>250.00</t>
        </is>
      </c>
    </row>
    <row collapsed="false" customFormat="false" customHeight="false" hidden="false" ht="12.1" outlineLevel="0" r="401">
      <c r="A401" s="5" t="s">
        <f>=HYPERLINK("https://rossileiloes.com.br/lote/detalhe/60990", "859")</f>
      </c>
      <c r="B401" s="4" t="s">
        <f>=HYPERLINK("https://rossileiloes.com.br/lote/detalhe/60990", " Escultura de ferro fundido,   198cm de altura")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7.000,00</t>
        </is>
      </c>
      <c r="F401" s="4" t="inlineStr">
        <is>
          <t>250.00</t>
        </is>
      </c>
    </row>
    <row collapsed="false" customFormat="false" customHeight="false" hidden="false" ht="12.1" outlineLevel="0" r="402">
      <c r="A402" s="5" t="s">
        <f>=HYPERLINK("https://rossileiloes.com.br/lote/detalhe/60968", "860")</f>
      </c>
      <c r="B402" s="4" t="s">
        <f>=HYPERLINK("https://rossileiloes.com.br/lote/detalhe/60968", " Rara escultura de madeira entalhada, de peixe ROBALO. tamanho 198cm de altura. 78cm de largura.")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15.000,00</t>
        </is>
      </c>
      <c r="F402" s="4" t="inlineStr">
        <is>
          <t>250.00</t>
        </is>
      </c>
    </row>
    <row collapsed="false" customFormat="false" customHeight="false" hidden="false" ht="12.1" outlineLevel="0" r="403">
      <c r="A403" s="5" t="s">
        <f>=HYPERLINK("https://rossileiloes.com.br/lote/detalhe/60960", "861")</f>
      </c>
      <c r="B403" s="4" t="s">
        <f>=HYPERLINK("https://rossileiloes.com.br/lote/detalhe/60960", " Rara e única escultura de caranguejo importada - Apróx 1.50m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8.000,00</t>
        </is>
      </c>
      <c r="F403" s="4" t="inlineStr">
        <is>
          <t>250.00</t>
        </is>
      </c>
    </row>
    <row collapsed="false" customFormat="false" customHeight="false" hidden="false" ht="12.1" outlineLevel="0" r="404">
      <c r="A404" s="5" t="s">
        <f>=HYPERLINK("https://rossileiloes.com.br/lote/detalhe/60987", "863")</f>
      </c>
      <c r="B404" s="4" t="s">
        <f>=HYPERLINK("https://rossileiloes.com.br/lote/detalhe/60987", " Coleção com 5 reloginhos antigos")</f>
      </c>
      <c r="C404" s="4" t="inlineStr">
        <is>
          <t>Vendido</t>
        </is>
      </c>
      <c r="D404" s="4" t="inlineStr">
        <is>
          <t>2</t>
        </is>
      </c>
      <c r="E404" s="5" t="inlineStr">
        <is>
          <t>150,00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=HYPERLINK("https://rossileiloes.com.br/lote/detalhe/60946", "864")</f>
      </c>
      <c r="B405" s="4" t="s">
        <f>=HYPERLINK("https://rossileiloes.com.br/lote/detalhe/60946", " Escultura em madeira maciça -  89 cm altura")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350,00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=HYPERLINK("https://rossileiloes.com.br/lote/detalhe/60984", "865")</f>
      </c>
      <c r="B406" s="4" t="s">
        <f>=HYPERLINK("https://rossileiloes.com.br/lote/detalhe/60984", " Coleção com 5 reloginhos antigos")</f>
      </c>
      <c r="C406" s="4" t="inlineStr">
        <is>
          <t>Vendido</t>
        </is>
      </c>
      <c r="D406" s="4" t="inlineStr">
        <is>
          <t>15</t>
        </is>
      </c>
      <c r="E406" s="5" t="inlineStr">
        <is>
          <t>850,00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=HYPERLINK("https://rossileiloes.com.br/lote/detalhe/60969", "866")</f>
      </c>
      <c r="B407" s="4" t="s">
        <f>=HYPERLINK("https://rossileiloes.com.br/lote/detalhe/60969", " Projetor de slides marca Projecflx sem teste")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100,00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=HYPERLINK("https://rossileiloes.com.br/lote/detalhe/60978", "867")</f>
      </c>
      <c r="B408" s="4" t="s">
        <f>=HYPERLINK("https://rossileiloes.com.br/lote/detalhe/60978", " Coleção com 5 reloginhos antigos ")</f>
      </c>
      <c r="C408" s="4" t="inlineStr">
        <is>
          <t>Vendido</t>
        </is>
      </c>
      <c r="D408" s="4" t="inlineStr">
        <is>
          <t>14</t>
        </is>
      </c>
      <c r="E408" s="5" t="inlineStr">
        <is>
          <t>750,00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=HYPERLINK("https://rossileiloes.com.br/lote/detalhe/60980", "868")</f>
      </c>
      <c r="B409" s="4" t="s">
        <f>=HYPERLINK("https://rossileiloes.com.br/lote/detalhe/60980", " Projetor sonoro de 8 mm  Magnon modelo SD-800,37 x 25 x 33 cm. sem teste")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150,00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=HYPERLINK("https://rossileiloes.com.br/lote/detalhe/60994", "869")</f>
      </c>
      <c r="B410" s="4" t="s">
        <f>=HYPERLINK("https://rossileiloes.com.br/lote/detalhe/60994", " Coleção com 5 reloginhos antigos")</f>
      </c>
      <c r="C410" s="4" t="inlineStr">
        <is>
          <t>Vendido</t>
        </is>
      </c>
      <c r="D410" s="4" t="inlineStr">
        <is>
          <t>16</t>
        </is>
      </c>
      <c r="E410" s="5" t="inlineStr">
        <is>
          <t>850,00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=HYPERLINK("https://rossileiloes.com.br/lote/detalhe/60979", "870")</f>
      </c>
      <c r="B411" s="4" t="s">
        <f>=HYPERLINK("https://rossileiloes.com.br/lote/detalhe/60979", " Maquina de moer carne indústrial - funcionando")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3.500,00</t>
        </is>
      </c>
      <c r="F411" s="4" t="inlineStr">
        <is>
          <t>250.00</t>
        </is>
      </c>
    </row>
    <row collapsed="false" customFormat="false" customHeight="false" hidden="false" ht="12.1" outlineLevel="0" r="412">
      <c r="A412" s="5" t="s">
        <f>=HYPERLINK("https://rossileiloes.com.br/lote/detalhe/60995", "871")</f>
      </c>
      <c r="B412" s="4" t="s">
        <f>=HYPERLINK("https://rossileiloes.com.br/lote/detalhe/60995", " Replica pistola SMITH ")</f>
      </c>
      <c r="C412" s="4" t="inlineStr">
        <is>
          <t>Vendido</t>
        </is>
      </c>
      <c r="D412" s="4" t="inlineStr">
        <is>
          <t>3</t>
        </is>
      </c>
      <c r="E412" s="5" t="inlineStr">
        <is>
          <t>500,00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=HYPERLINK("https://rossileiloes.com.br/lote/detalhe/60988", "872")</f>
      </c>
      <c r="B413" s="4" t="s">
        <f>=HYPERLINK("https://rossileiloes.com.br/lote/detalhe/60988", " Coleção particular de conversões de fitas vhs pra DVDs  filmes,novelas antigas, desenho da decada 70,80,seriados antigos,Filmes raros gravados da tv aberta- Apróx 5000 dvds")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2.500,00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=HYPERLINK("https://rossileiloes.com.br/lote/detalhe/60996", "873")</f>
      </c>
      <c r="B414" s="4" t="s">
        <f>=HYPERLINK("https://rossileiloes.com.br/lote/detalhe/60996", "Escultura rara - Apróx 1.30")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2.500,00</t>
        </is>
      </c>
      <c r="F414" s="4" t="inlineStr">
        <is>
          <t>100.00</t>
        </is>
      </c>
    </row>
    <row collapsed="false" customFormat="false" customHeight="false" hidden="false" ht="12.1" outlineLevel="0" r="415">
      <c r="A415" s="5" t="s">
        <f>=HYPERLINK("https://rossileiloes.com.br/lote/detalhe/60997", "874")</f>
      </c>
      <c r="B415" s="4" t="s">
        <f>=HYPERLINK("https://rossileiloes.com.br/lote/detalhe/60997", "Escultura - Onça - Apróx 70cm")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1.500,00</t>
        </is>
      </c>
      <c r="F415" s="4" t="inlineStr">
        <is>
          <t>100.00</t>
        </is>
      </c>
    </row>
    <row collapsed="false" customFormat="false" customHeight="false" hidden="false" ht="12.1" outlineLevel="0" r="416">
      <c r="A416" s="5" t="s">
        <f>=HYPERLINK("https://rossileiloes.com.br/lote/detalhe/60998", "875")</f>
      </c>
      <c r="B416" s="4" t="s">
        <f>=HYPERLINK("https://rossileiloes.com.br/lote/detalhe/60998", "Escultura importada - Apróx. 1.50m")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13.000,00</t>
        </is>
      </c>
      <c r="F416" s="4" t="inlineStr">
        <is>
          <t>250.00</t>
        </is>
      </c>
    </row>
    <row collapsed="false" customFormat="false" customHeight="false" hidden="false" ht="12.1" outlineLevel="0" r="417">
      <c r="A417" s="5" t="s">
        <f>=HYPERLINK("https://rossileiloes.com.br/lote/detalhe/60999", "876")</f>
      </c>
      <c r="B417" s="4" t="s">
        <f>=HYPERLINK("https://rossileiloes.com.br/lote/detalhe/60999", "Escultura importada - tartaruga - Apróx 90cm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5.500,00</t>
        </is>
      </c>
      <c r="F417" s="4" t="inlineStr">
        <is>
          <t>250.00</t>
        </is>
      </c>
    </row>
    <row collapsed="false" customFormat="false" customHeight="false" hidden="false" ht="12.1" outlineLevel="0" r="418">
      <c r="A418" s="5" t="s">
        <f>=HYPERLINK("https://rossileiloes.com.br/lote/detalhe/61000", "877")</f>
      </c>
      <c r="B418" s="4" t="s">
        <f>=HYPERLINK("https://rossileiloes.com.br/lote/detalhe/61000", "Lote com: 20 uni. Chevrolet Collection - sem uso - na caixa - escala 1:43")</f>
      </c>
      <c r="C418" s="4" t="inlineStr">
        <is>
          <t>Vendido</t>
        </is>
      </c>
      <c r="D418" s="4" t="inlineStr">
        <is>
          <t>1</t>
        </is>
      </c>
      <c r="E418" s="5" t="inlineStr">
        <is>
          <t>350,00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=HYPERLINK("https://rossileiloes.com.br/lote/detalhe/62890", "878")</f>
      </c>
      <c r="B419" s="4" t="s">
        <f>=HYPERLINK("https://rossileiloes.com.br/lote/detalhe/62890", " jogo para café em porcelana chinesa importado , são: um bule (15,5cm), uma cremeira (7,5cm), um açucareiro (6,5cm), seis xícaras com pires (6cm) e um prato de serviço (27cm de diâmetro)")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300,00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=HYPERLINK("https://rossileiloes.com.br/lote/detalhe/62891", "879")</f>
      </c>
      <c r="B420" s="4" t="s">
        <f>=HYPERLINK("https://rossileiloes.com.br/lote/detalhe/62891", " jogo para sobremesa com seis 6 peças (3,5cm x 11,5cm), em metal prateado com vermeil na parte interna com 5colheres em metal (12cm) prateado coma ponta vermeil")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150,00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=HYPERLINK("https://rossileiloes.com.br/lote/detalhe/62889", "880")</f>
      </c>
      <c r="B421" s="4" t="s">
        <f>=HYPERLINK("https://rossileiloes.com.br/lote/detalhe/62889", " jogo para bolo, importado gottingem ITALY, contendo um prato para servir (34,5cm), doze garfos em metal (15cm), uma espátula (24cm) e uma faca (22,5cm)")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250,00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=HYPERLINK("https://rossileiloes.com.br/lote/detalhe/62892", "881")</f>
      </c>
      <c r="B422" s="4" t="s">
        <f>=HYPERLINK("https://rossileiloes.com.br/lote/detalhe/62892", " Antiga cadeira de balanço, de madeira maciça torneada  56 de largura x 108 cm de altura")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600,00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=HYPERLINK("https://rossileiloes.com.br/lote/detalhe/62893", "882")</f>
      </c>
      <c r="B423" s="4" t="s">
        <f>=HYPERLINK("https://rossileiloes.com.br/lote/detalhe/62893", " jogo de xicaras para café em porcelana chinesa, (6cm de altura).")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200,00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=HYPERLINK("https://rossileiloes.com.br/lote/detalhe/62894", "883")</f>
      </c>
      <c r="B424" s="4" t="s">
        <f>=HYPERLINK("https://rossileiloes.com.br/lote/detalhe/62894", " Telefone antigo de mármore, 18x18x30cm. 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450,00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=HYPERLINK("https://rossileiloes.com.br/lote/detalhe/62895", "884")</f>
      </c>
      <c r="B425" s="4" t="s">
        <f>=HYPERLINK("https://rossileiloes.com.br/lote/detalhe/62895", " Vaso de porcelana chinesa, com peanha, vaso mede 36cm de diâmetro e 40cm de altura com a peanha")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1.300,00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=HYPERLINK("https://rossileiloes.com.br/lote/detalhe/62903", "885")</f>
      </c>
      <c r="B426" s="4" t="s">
        <f>=HYPERLINK("https://rossileiloes.com.br/lote/detalhe/62903", " Aparelho de Fondue importado, em metal, com Panela, suporte e rechaud,seis espetos na caixa. Dimensões: 25 cm X 16 cm X 31 cm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200,00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=HYPERLINK("https://rossileiloes.com.br/lote/detalhe/62896", "886")</f>
      </c>
      <c r="B427" s="4" t="s">
        <f>=HYPERLINK("https://rossileiloes.com.br/lote/detalhe/62896", " Dois Bules e uma Chaleira para 90 com cabo de madeiraDimensões: 14 cm X 15 cm; 13 cm X 17 cm; 12 cm 21 cm.")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250,00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=HYPERLINK("https://rossileiloes.com.br/lote/detalhe/62897", "887")</f>
      </c>
      <c r="B428" s="4" t="s">
        <f>=HYPERLINK("https://rossileiloes.com.br/lote/detalhe/62897", " Prato Decorativo iportado de Móvel ou Parede, executado em porcelana inglesa, YORKSHIRE - SR STAFFORDSHIRE - ENGLAND")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250,00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=HYPERLINK("https://rossileiloes.com.br/lote/detalhe/62900", "888")</f>
      </c>
      <c r="B429" s="4" t="s">
        <f>=HYPERLINK("https://rossileiloes.com.br/lote/detalhe/62900", " Poltrona Renascença, tecido floral, medindo 90x60 cm")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700,00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=HYPERLINK("https://rossileiloes.com.br/lote/detalhe/62898", "889")</f>
      </c>
      <c r="B430" s="4" t="s">
        <f>=HYPERLINK("https://rossileiloes.com.br/lote/detalhe/62898", " Gatos Madeira importado de bali Indonésia entalhada, maior mede 148cm de altura, menor mede 120cm")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450,00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=HYPERLINK("https://rossileiloes.com.br/lote/detalhe/62899", "890")</f>
      </c>
      <c r="B431" s="4" t="s">
        <f>=HYPERLINK("https://rossileiloes.com.br/lote/detalhe/62899", " Bule, em metal espessurado à prata 90, com Pega em madeira. Dimensões: 20 cm X 20 cm X 9 cm 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150,00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=HYPERLINK("https://rossileiloes.com.br/lote/detalhe/62901", "891")</f>
      </c>
      <c r="B432" s="4" t="s">
        <f>=HYPERLINK("https://rossileiloes.com.br/lote/detalhe/62901", " Bule em metal espessurado à prata 90, cabo de madeira  Dimensões: 22 cm X 27 cm X 14 cm")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150,00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=HYPERLINK("https://rossileiloes.com.br/lote/detalhe/62902", "892")</f>
      </c>
      <c r="B433" s="4" t="s">
        <f>=HYPERLINK("https://rossileiloes.com.br/lote/detalhe/62902", " medalhão de parede em porcelana oriental,rica policromia em alto relevo pintado a mão com detalhes em dourado. Marcada com selo vermelho. Med. 33 cm alt.")</f>
      </c>
      <c r="C433" s="4" t="inlineStr">
        <is>
          <t>Não vendido</t>
        </is>
      </c>
      <c r="D433" s="4" t="inlineStr">
        <is>
          <t>0</t>
        </is>
      </c>
      <c r="E433" s="5" t="inlineStr">
        <is>
          <t>450,00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=HYPERLINK("https://rossileiloes.com.br/lote/detalhe/62905", "893")</f>
      </c>
      <c r="B434" s="4" t="s">
        <f>=HYPERLINK("https://rossileiloes.com.br/lote/detalhe/62905", " conjunto com bule para chá, bule para café e leiteira, em metal espessurado a prata WOLF. Med. maior 16,5 cm. altura. Bandeja 39 cm diâmetro.")</f>
      </c>
      <c r="C434" s="4" t="inlineStr">
        <is>
          <t>Vendido</t>
        </is>
      </c>
      <c r="D434" s="4" t="inlineStr">
        <is>
          <t>3</t>
        </is>
      </c>
      <c r="E434" s="5" t="inlineStr">
        <is>
          <t>300,00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=HYPERLINK("https://rossileiloes.com.br/lote/detalhe/62904", "894")</f>
      </c>
      <c r="B435" s="4" t="s">
        <f>=HYPERLINK("https://rossileiloes.com.br/lote/detalhe/62904", " Katanas de coleção acabamento em metal. Med.: maior 35 cm. Obs: lâmina com oxidação ")</f>
      </c>
      <c r="C435" s="4" t="inlineStr">
        <is>
          <t>Vendido</t>
        </is>
      </c>
      <c r="D435" s="4" t="inlineStr">
        <is>
          <t>3</t>
        </is>
      </c>
      <c r="E435" s="5" t="inlineStr">
        <is>
          <t>200,00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=HYPERLINK("https://rossileiloes.com.br/lote/detalhe/62906", "895")</f>
      </c>
      <c r="B436" s="4" t="s">
        <f>=HYPERLINK("https://rossileiloes.com.br/lote/detalhe/62906",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300,00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=HYPERLINK("https://rossileiloes.com.br/lote/detalhe/62907", "897")</f>
      </c>
      <c r="B437" s="4" t="s">
        <f>=HYPERLINK("https://rossileiloes.com.br/lote/detalhe/62907", " Lote com  Apróx. 2 mil livros varios títulos,em ótimo estado de conservação")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900,00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=HYPERLINK("https://rossileiloes.com.br/lote/detalhe/62909", "898")</f>
      </c>
      <c r="B438" s="4" t="s">
        <f>=HYPERLINK("https://rossileiloes.com.br/lote/detalhe/62909", " Lote  com peças  lego")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100,00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=HYPERLINK("https://rossileiloes.com.br/lote/detalhe/62910", "899")</f>
      </c>
      <c r="B439" s="4" t="s">
        <f>=HYPERLINK("https://rossileiloes.com.br/lote/detalhe/62910", " Coleção fascículos método Larousse inglês com 42 fitas,com 82 fascículos")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50,00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=HYPERLINK("https://rossileiloes.com.br/lote/detalhe/62911", "900")</f>
      </c>
      <c r="B440" s="4" t="s">
        <f>=HYPERLINK("https://rossileiloes.com.br/lote/detalhe/62911", " Rara bolsa minie década de 80- 41cm de comprimento  ,altura 25cm")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100,00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=HYPERLINK("https://rossileiloes.com.br/lote/detalhe/62925", "901")</f>
      </c>
      <c r="B441" s="4" t="s">
        <f>=HYPERLINK("https://rossileiloes.com.br/lote/detalhe/62925", " Escultura dragão feito em osso  Peça anos 50, 30 cm altura 30 de comprimento")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500,00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=HYPERLINK("https://rossileiloes.com.br/lote/detalhe/62923", "902")</f>
      </c>
      <c r="B442" s="4" t="s">
        <f>=HYPERLINK("https://rossileiloes.com.br/lote/detalhe/62923", " Lote com 6 antigos álbuns Nestlé supresa")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150,00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=HYPERLINK("https://rossileiloes.com.br/lote/detalhe/62917", "903")</f>
      </c>
      <c r="B443" s="4" t="s">
        <f>=HYPERLINK("https://rossileiloes.com.br/lote/detalhe/62917", " Boneco antigo fofão")</f>
      </c>
      <c r="C443" s="4" t="inlineStr">
        <is>
          <t>Não vendido</t>
        </is>
      </c>
      <c r="D443" s="4" t="inlineStr">
        <is>
          <t>0</t>
        </is>
      </c>
      <c r="E443" s="5" t="inlineStr">
        <is>
          <t>100,00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=HYPERLINK("https://rossileiloes.com.br/lote/detalhe/62916", "904")</f>
      </c>
      <c r="B444" s="4" t="s">
        <f>=HYPERLINK("https://rossileiloes.com.br/lote/detalhe/62916", " Maquina olivetti college  conservada")</f>
      </c>
      <c r="C444" s="4" t="inlineStr">
        <is>
          <t>Vendido</t>
        </is>
      </c>
      <c r="D444" s="4" t="inlineStr">
        <is>
          <t>1</t>
        </is>
      </c>
      <c r="E444" s="5" t="inlineStr">
        <is>
          <t>100,00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=HYPERLINK("https://rossileiloes.com.br/lote/detalhe/62922", "905")</f>
      </c>
      <c r="B445" s="4" t="s">
        <f>=HYPERLINK("https://rossileiloes.com.br/lote/detalhe/62922", " Videogame Nintendo mais acessórios - funcionando ")</f>
      </c>
      <c r="C445" s="4" t="inlineStr">
        <is>
          <t>Vendido</t>
        </is>
      </c>
      <c r="D445" s="4" t="inlineStr">
        <is>
          <t>2</t>
        </is>
      </c>
      <c r="E445" s="5" t="inlineStr">
        <is>
          <t>200,00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=HYPERLINK("https://rossileiloes.com.br/lote/detalhe/62921", "906")</f>
      </c>
      <c r="B446" s="4" t="s">
        <f>=HYPERLINK("https://rossileiloes.com.br/lote/detalhe/62921", " termômetro, higrometro e barômetro,importado Germânia (vidro trincado) (50cm de altura).")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200,00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=HYPERLINK("https://rossileiloes.com.br/lote/detalhe/62915", "907")</f>
      </c>
      <c r="B447" s="4" t="s">
        <f>=HYPERLINK("https://rossileiloes.com.br/lote/detalhe/62915", " Floreira Solifleur importada índia , em bronze  Altura:19,5")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150,00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=HYPERLINK("https://rossileiloes.com.br/lote/detalhe/62914", "908")</f>
      </c>
      <c r="B448" s="4" t="s">
        <f>=HYPERLINK("https://rossileiloes.com.br/lote/detalhe/62914", " Telefone antigo")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450,00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=HYPERLINK("https://rossileiloes.com.br/lote/detalhe/62924", "909")</f>
      </c>
      <c r="B449" s="4" t="s">
        <f>=HYPERLINK("https://rossileiloes.com.br/lote/detalhe/62924", " Floreira, em bronze, decorada com pavões coloridos. Dimensões: 26 cm X 10 cm")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150,00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=HYPERLINK("https://rossileiloes.com.br/lote/detalhe/62919", "910")</f>
      </c>
      <c r="B450" s="4" t="s">
        <f>=HYPERLINK("https://rossileiloes.com.br/lote/detalhe/62919", " Relógio de parede importado, feito âncora.35cm de altura. 23cm de largura")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300,00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=HYPERLINK("https://rossileiloes.com.br/lote/detalhe/62918", "911")</f>
      </c>
      <c r="B451" s="4" t="s">
        <f>=HYPERLINK("https://rossileiloes.com.br/lote/detalhe/62918", " Duas peças em metal aço inox bandeja e Wine cooler  Med. bandeja 41 cm diâmetro, wine cooler 18 x 23 cm diâmetro.")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100,00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=HYPERLINK("https://rossileiloes.com.br/lote/detalhe/62912", "912")</f>
      </c>
      <c r="B452" s="4" t="s">
        <f>=HYPERLINK("https://rossileiloes.com.br/lote/detalhe/62912", " Prato em porcelana oriental policromada pintada a mão - 24 cm de diâmetro.")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200,00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=HYPERLINK("https://rossileiloes.com.br/lote/detalhe/62926", "913")</f>
      </c>
      <c r="B453" s="4" t="s">
        <f>=HYPERLINK("https://rossileiloes.com.br/lote/detalhe/62926", " Relógio despertador de cabeçeira da marca Kienzle")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100,00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=HYPERLINK("https://rossileiloes.com.br/lote/detalhe/62913", "914")</f>
      </c>
      <c r="B454" s="4" t="s">
        <f>=HYPERLINK("https://rossileiloes.com.br/lote/detalhe/62913", " Bule em metal de origem árabe")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100,00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=HYPERLINK("https://rossileiloes.com.br/lote/detalhe/62920", "915")</f>
      </c>
      <c r="B455" s="4" t="s">
        <f>=HYPERLINK("https://rossileiloes.com.br/lote/detalhe/62920", " Relógio despertador de cabeçeira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100,00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=HYPERLINK("https://rossileiloes.com.br/lote/detalhe/62927", "916")</f>
      </c>
      <c r="B456" s="4" t="s">
        <f>=HYPERLINK("https://rossileiloes.com.br/lote/detalhe/62927", " Bomboniere de Vidro com guarnições em metal e madeira com patina provence. 35cm de altura.")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250,00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=HYPERLINK("https://rossileiloes.com.br/lote/detalhe/62928", "917")</f>
      </c>
      <c r="B457" s="4" t="s">
        <f>=HYPERLINK("https://rossileiloes.com.br/lote/detalhe/62928", " Relógio despertador de cabeçeira da marca Westclox")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=HYPERLINK("https://rossileiloes.com.br/lote/detalhe/62929", "918")</f>
      </c>
      <c r="B458" s="4" t="s">
        <f>=HYPERLINK("https://rossileiloes.com.br/lote/detalhe/62929", " Pilão em madeira,34 cm, meados do século XX")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150,00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=HYPERLINK("https://rossileiloes.com.br/lote/detalhe/62933", "919")</f>
      </c>
      <c r="B459" s="4" t="s">
        <f>=HYPERLINK("https://rossileiloes.com.br/lote/detalhe/62933", "  03 carpas importadas de cerâmica de Bali. Maior med. 35cm de largura. uma delas Apresenta  bicado.")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450,00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=HYPERLINK("https://rossileiloes.com.br/lote/detalhe/62931", "920")</f>
      </c>
      <c r="B460" s="4" t="s">
        <f>=HYPERLINK("https://rossileiloes.com.br/lote/detalhe/62931", " Sopeira, prata 90, rebouças em metal espessurado a prata, Med. 24 cm alt x 30 x 2,5 cm.")</f>
      </c>
      <c r="C460" s="4" t="inlineStr">
        <is>
          <t>Vendido</t>
        </is>
      </c>
      <c r="D460" s="4" t="inlineStr">
        <is>
          <t>2</t>
        </is>
      </c>
      <c r="E460" s="5" t="inlineStr">
        <is>
          <t>400,00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=HYPERLINK("https://rossileiloes.com.br/lote/detalhe/62930", "921")</f>
      </c>
      <c r="B461" s="4" t="s">
        <f>=HYPERLINK("https://rossileiloes.com.br/lote/detalhe/62930", " Relógio despertador de cabeçeira da marca Five Rams")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=HYPERLINK("https://rossileiloes.com.br/lote/detalhe/62937", "922")</f>
      </c>
      <c r="B462" s="4" t="s">
        <f>=HYPERLINK("https://rossileiloes.com.br/lote/detalhe/62937", " bule  árabe em metal com altura 18,5 cm")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=HYPERLINK("https://rossileiloes.com.br/lote/detalhe/62938", "923")</f>
      </c>
      <c r="B463" s="4" t="s">
        <f>=HYPERLINK("https://rossileiloes.com.br/lote/detalhe/62938", " Relógio despertador de cabeçeira, da marca Herweg, 16 cm")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=HYPERLINK("https://rossileiloes.com.br/lote/detalhe/62935", "924")</f>
      </c>
      <c r="B464" s="4" t="s">
        <f>=HYPERLINK("https://rossileiloes.com.br/lote/detalhe/62935", " 02.  Fruteiras em metal espessurado a prata - decoração Rocaille,  comprimento 26 cm.")</f>
      </c>
      <c r="C464" s="4" t="inlineStr">
        <is>
          <t>Vendido</t>
        </is>
      </c>
      <c r="D464" s="4" t="inlineStr">
        <is>
          <t>2</t>
        </is>
      </c>
      <c r="E464" s="5" t="inlineStr">
        <is>
          <t>250,00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=HYPERLINK("https://rossileiloes.com.br/lote/detalhe/62934", "925")</f>
      </c>
      <c r="B465" s="4" t="s">
        <f>=HYPERLINK("https://rossileiloes.com.br/lote/detalhe/62934", " Relógio despertador de cabeçeira  Fortt`s Mechanical à corda, 13 cm, 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100,00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=HYPERLINK("https://rossileiloes.com.br/lote/detalhe/62932", "926")</f>
      </c>
      <c r="B466" s="4" t="s">
        <f>=HYPERLINK("https://rossileiloes.com.br/lote/detalhe/62932", " Bule árabe  em metal altura 33 cm.")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150,00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=HYPERLINK("https://rossileiloes.com.br/lote/detalhe/62936", "927")</f>
      </c>
      <c r="B467" s="4" t="s">
        <f>=HYPERLINK("https://rossileiloes.com.br/lote/detalhe/62936", " Escultura em madeira, a peça se movimenta, 30 cm.")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150,00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=HYPERLINK("https://rossileiloes.com.br/lote/detalhe/62953", "928")</f>
      </c>
      <c r="B468" s="4" t="s">
        <f>=HYPERLINK("https://rossileiloes.com.br/lote/detalhe/62953", " Relógio despertador de cabeçeira da marca Peter de origem alemã")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100,00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=HYPERLINK("https://rossileiloes.com.br/lote/detalhe/62956", "930")</f>
      </c>
      <c r="B469" s="4" t="s">
        <f>=HYPERLINK("https://rossileiloes.com.br/lote/detalhe/62956", " Legumeira importada  ENGLAND  porcelana, Marcada e numerada MYOTT Son ")</f>
      </c>
      <c r="C469" s="4" t="inlineStr">
        <is>
          <t>Vendido</t>
        </is>
      </c>
      <c r="D469" s="4" t="inlineStr">
        <is>
          <t>1</t>
        </is>
      </c>
      <c r="E469" s="5" t="inlineStr">
        <is>
          <t>250,00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=HYPERLINK("https://rossileiloes.com.br/lote/detalhe/62954", "931")</f>
      </c>
      <c r="B470" s="4" t="s">
        <f>=HYPERLINK("https://rossileiloes.com.br/lote/detalhe/62954", " Mesa estrutura em ferro moldado, dourado. Tampo em vidro embutido 8 mm. Alt.: 35 cm. Comp.: 1,00 m. Prof.: 70 cm. Vidro com pequenos bicados.")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250,00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=HYPERLINK("https://rossileiloes.com.br/lote/detalhe/62984", "932")</f>
      </c>
      <c r="B471" s="4" t="s">
        <f>=HYPERLINK("https://rossileiloes.com.br/lote/detalhe/62984", " faqueiro italiano com 38 peças, banhado a ouro "Argento Freccia D´Oro". são  02 conchas para molho ( 18 cm), 12 garfos para frutas ( 16 cm), 12 colheres cabos longos ( 19,5 cm) e 12 colheres para café ( 12 cm cada)- sem uso.")</f>
      </c>
      <c r="C471" s="4" t="inlineStr">
        <is>
          <t>Vendido</t>
        </is>
      </c>
      <c r="D471" s="4" t="inlineStr">
        <is>
          <t>1</t>
        </is>
      </c>
      <c r="E471" s="5" t="inlineStr">
        <is>
          <t>450,00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=HYPERLINK("https://rossileiloes.com.br/lote/detalhe/62951", "933")</f>
      </c>
      <c r="B472" s="4" t="s">
        <f>=HYPERLINK("https://rossileiloes.com.br/lote/detalhe/62951", " Katanas decorativas de coleção , com bainha e punho decorado acabamento em metal. Med.: 25,21 e 7 cm diâmetro.")</f>
      </c>
      <c r="C472" s="4" t="inlineStr">
        <is>
          <t>Vendido</t>
        </is>
      </c>
      <c r="D472" s="4" t="inlineStr">
        <is>
          <t>2</t>
        </is>
      </c>
      <c r="E472" s="5" t="inlineStr">
        <is>
          <t>200,00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=HYPERLINK("https://rossileiloes.com.br/lote/detalhe/62944", "934")</f>
      </c>
      <c r="B473" s="4" t="s">
        <f>=HYPERLINK("https://rossileiloes.com.br/lote/detalhe/62944", " Prato decorativo  porcelana oriental  Marcado.  21 cm diâmetro.")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200,00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=HYPERLINK("https://rossileiloes.com.br/lote/detalhe/62948", "935")</f>
      </c>
      <c r="B474" s="4" t="s">
        <f>=HYPERLINK("https://rossileiloes.com.br/lote/detalhe/62948", " Espada decorativa medieval, com empunhadura produzida em metal e lâmina em aço,  95 cm, peso aproximado 1 kg.")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550,00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=HYPERLINK("https://rossileiloes.com.br/lote/detalhe/62942", "936")</f>
      </c>
      <c r="B475" s="4" t="s">
        <f>=HYPERLINK("https://rossileiloes.com.br/lote/detalhe/62942", " Adaga chinesa de coleção, com lamina em aço, decorada por Dragões. Med 22 cm.")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150,00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=HYPERLINK("https://rossileiloes.com.br/lote/detalhe/62943", "937")</f>
      </c>
      <c r="B476" s="4" t="s">
        <f>=HYPERLINK("https://rossileiloes.com.br/lote/detalhe/62943", " Conjunto português VILLEROY 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600,00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=HYPERLINK("https://rossileiloes.com.br/lote/detalhe/62950", "938")</f>
      </c>
      <c r="B477" s="4" t="s">
        <f>=HYPERLINK("https://rossileiloes.com.br/lote/detalhe/62950", " Balança francesa em bronze dourado/ cinzelada Med.: 47x40 cm")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200,00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=HYPERLINK("https://rossileiloes.com.br/lote/detalhe/62945", "939")</f>
      </c>
      <c r="B478" s="4" t="s">
        <f>=HYPERLINK("https://rossileiloes.com.br/lote/detalhe/62945", " Potiche africano em cerâmica patinada, realçado a ouro, Med 77 cm.")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250,00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=HYPERLINK("https://rossileiloes.com.br/lote/detalhe/62952", "940")</f>
      </c>
      <c r="B479" s="4" t="s">
        <f>=HYPERLINK("https://rossileiloes.com.br/lote/detalhe/62952", " Centro de mesa chines, Séc XIX período " Tao Kuang ", em porcelana  esmaltada a mão, padrão Mandarim. Com selo vermelho. Med 12x26")</f>
      </c>
      <c r="C479" s="4" t="inlineStr">
        <is>
          <t>Vendido</t>
        </is>
      </c>
      <c r="D479" s="4" t="inlineStr">
        <is>
          <t>1</t>
        </is>
      </c>
      <c r="E479" s="5" t="inlineStr">
        <is>
          <t>350,00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=HYPERLINK("https://rossileiloes.com.br/lote/detalhe/62940", "941")</f>
      </c>
      <c r="B480" s="4" t="s">
        <f>=HYPERLINK("https://rossileiloes.com.br/lote/detalhe/62940", " Centro de mesa  LUIS XV francês, em metal espessurado a prata em alto e baixo relevo, Peça contrastada. 22x27x22 cm.")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300,00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=HYPERLINK("https://rossileiloes.com.br/lote/detalhe/62947", "942")</f>
      </c>
      <c r="B481" s="4" t="s">
        <f>=HYPERLINK("https://rossileiloes.com.br/lote/detalhe/62947", " Placa tailandesa em madeira nobre patinada, esculpida e pintada a mão , realçada a prata - Med 18x100 cm. Obs: apresenta  pequeno bicado na madeira")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300,00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=HYPERLINK("https://rossileiloes.com.br/lote/detalhe/62941", "943")</f>
      </c>
      <c r="B482" s="4" t="s">
        <f>=HYPERLINK("https://rossileiloes.com.br/lote/detalhe/62941", " Brasão inglês ,em madeira nobre, com aplicações em resina, metal e tecido aveludado. Med 96x77 cm")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500,00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=HYPERLINK("https://rossileiloes.com.br/lote/detalhe/62949", "944")</f>
      </c>
      <c r="B483" s="4" t="s">
        <f>=HYPERLINK("https://rossileiloes.com.br/lote/detalhe/62949", " 02. castiçais italianos, Barroco, em bronze dourado,  Med: 27 cm")</f>
      </c>
      <c r="C483" s="4" t="inlineStr">
        <is>
          <t>Vendido</t>
        </is>
      </c>
      <c r="D483" s="4" t="inlineStr">
        <is>
          <t>1</t>
        </is>
      </c>
      <c r="E483" s="5" t="inlineStr">
        <is>
          <t>250,00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=HYPERLINK("https://rossileiloes.com.br/lote/detalhe/62939", "945")</f>
      </c>
      <c r="B484" s="4" t="s">
        <f>=HYPERLINK("https://rossileiloes.com.br/lote/detalhe/62939", " Conjunto de porta copos, em metal espessurado a prata,  Med 10 cm e 13x13x10 cm.")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350,00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=HYPERLINK("https://rossileiloes.com.br/lote/detalhe/62946", "946")</f>
      </c>
      <c r="B485" s="4" t="s">
        <f>=HYPERLINK("https://rossileiloes.com.br/lote/detalhe/62946", " Telefone de mesa italiano, década de 30,  em metal esmaltado, com guarnições em resina,  24x28 cm.")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400,00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=HYPERLINK("https://rossileiloes.com.br/lote/detalhe/62985", "947")</f>
      </c>
      <c r="B486" s="4" t="s">
        <f>=HYPERLINK("https://rossileiloes.com.br/lote/detalhe/62985", " Doceira em metal espessurado a prata. Med 37x19 cm.")</f>
      </c>
      <c r="C486" s="4" t="inlineStr">
        <is>
          <t>Vendido</t>
        </is>
      </c>
      <c r="D486" s="4" t="inlineStr">
        <is>
          <t>1</t>
        </is>
      </c>
      <c r="E486" s="5" t="inlineStr">
        <is>
          <t>250,00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=HYPERLINK("https://rossileiloes.com.br/lote/detalhe/62988", "948")</f>
      </c>
      <c r="B487" s="4" t="s">
        <f>=HYPERLINK("https://rossileiloes.com.br/lote/detalhe/62988", " Floreira francesa, em cristal translucido Med: 23x14 cm")</f>
      </c>
      <c r="C487" s="4" t="inlineStr">
        <is>
          <t>Não vendido</t>
        </is>
      </c>
      <c r="D487" s="4" t="inlineStr">
        <is>
          <t>1</t>
        </is>
      </c>
      <c r="E487" s="5" t="inlineStr">
        <is>
          <t>200,00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=HYPERLINK("https://rossileiloes.com.br/lote/detalhe/63006", "949")</f>
      </c>
      <c r="B488" s="4" t="s">
        <f>=HYPERLINK("https://rossileiloes.com.br/lote/detalhe/63006", " Ânfora  chinesa de coleção, em porcelana Satzuma,  e 26 cm.")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250,00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=HYPERLINK("https://rossileiloes.com.br/lote/detalhe/62990", "950")</f>
      </c>
      <c r="B489" s="4" t="s">
        <f>=HYPERLINK("https://rossileiloes.com.br/lote/detalhe/62990", " Floreira estilo português em metal espessurado a prata, ricamente cinzelada, decorada por Gomos. Med 24 cm.")</f>
      </c>
      <c r="C489" s="4" t="inlineStr">
        <is>
          <t>Vendido</t>
        </is>
      </c>
      <c r="D489" s="4" t="inlineStr">
        <is>
          <t>1</t>
        </is>
      </c>
      <c r="E489" s="5" t="inlineStr">
        <is>
          <t>250,00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=HYPERLINK("https://rossileiloes.com.br/lote/detalhe/62986", "951")</f>
      </c>
      <c r="B490" s="4" t="s">
        <f>=HYPERLINK("https://rossileiloes.com.br/lote/detalhe/62986", " Escultura de madeira entalhada, de Cão. 50cm de altura. 30cm de largura")</f>
      </c>
      <c r="C490" s="4" t="inlineStr">
        <is>
          <t>Não vendido</t>
        </is>
      </c>
      <c r="D490" s="4" t="inlineStr">
        <is>
          <t>0</t>
        </is>
      </c>
      <c r="E490" s="5" t="inlineStr">
        <is>
          <t>500,00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=HYPERLINK("https://rossileiloes.com.br/lote/detalhe/62983", "952")</f>
      </c>
      <c r="B491" s="4" t="s">
        <f>=HYPERLINK("https://rossileiloes.com.br/lote/detalhe/62983", " Porta pirex  em metal espessurado à prata, 34,5x17,5x14 cm")</f>
      </c>
      <c r="C491" s="4" t="inlineStr">
        <is>
          <t>Vendido</t>
        </is>
      </c>
      <c r="D491" s="4" t="inlineStr">
        <is>
          <t>1</t>
        </is>
      </c>
      <c r="E491" s="5" t="inlineStr">
        <is>
          <t>150,00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=HYPERLINK("https://rossileiloes.com.br/lote/detalhe/62989", "953")</f>
      </c>
      <c r="B492" s="4" t="s">
        <f>=HYPERLINK("https://rossileiloes.com.br/lote/detalhe/62989", " lote com 09  taças para champagne em cristal , 12 cm 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600,00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=HYPERLINK("https://rossileiloes.com.br/lote/detalhe/62991", "954")</f>
      </c>
      <c r="B493" s="4" t="s">
        <f>=HYPERLINK("https://rossileiloes.com.br/lote/detalhe/62991", " Saladeira em metal espessurado a prata, com cabeça e rabo de pato em metal dourado,41 cm de comprimento x 28 cm de diâmetro x 18 cm de altura.")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350,00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=HYPERLINK("https://rossileiloes.com.br/lote/detalhe/63009", "955")</f>
      </c>
      <c r="B494" s="4" t="s">
        <f>=HYPERLINK("https://rossileiloes.com.br/lote/detalhe/63009", " Relógio cuco Maderart, caixa em madeira, a pilha, com  dois pêndulos, : 38 cm de altura x 34 cm de largura 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400,00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=HYPERLINK("https://rossileiloes.com.br/lote/detalhe/62987", "956")</f>
      </c>
      <c r="B495" s="4" t="s">
        <f>=HYPERLINK("https://rossileiloes.com.br/lote/detalhe/62987", " Escultura em madeira golfinho apoiado em rocha.-31 cm de altura")</f>
      </c>
      <c r="C495" s="4" t="inlineStr">
        <is>
          <t>Vendido</t>
        </is>
      </c>
      <c r="D495" s="4" t="inlineStr">
        <is>
          <t>1</t>
        </is>
      </c>
      <c r="E495" s="5" t="inlineStr">
        <is>
          <t>150,00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=HYPERLINK("https://rossileiloes.com.br/lote/detalhe/63004", "957")</f>
      </c>
      <c r="B496" s="4" t="s">
        <f>=HYPERLINK("https://rossileiloes.com.br/lote/detalhe/63004", " Dois vasos em porcelana com pintura de paisagem oriental,. Medidas: maior 20,5 cm de altura / menor 15 cm de altura ( vaso com  bicado) ")</f>
      </c>
      <c r="C496" s="4" t="inlineStr">
        <is>
          <t>Não vendido</t>
        </is>
      </c>
      <c r="D496" s="4" t="inlineStr">
        <is>
          <t>0</t>
        </is>
      </c>
      <c r="E496" s="5" t="inlineStr">
        <is>
          <t>250,00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=HYPERLINK("https://rossileiloes.com.br/lote/detalhe/63008", "958")</f>
      </c>
      <c r="B497" s="4" t="s">
        <f>=HYPERLINK("https://rossileiloes.com.br/lote/detalhe/63008", " Relógio alemão base circular escalonada. Medidas: 13,5 cm de altura x 9,8 cm de diâmetro ")</f>
      </c>
      <c r="C497" s="4" t="inlineStr">
        <is>
          <t>Não vendido</t>
        </is>
      </c>
      <c r="D497" s="4" t="inlineStr">
        <is>
          <t>0</t>
        </is>
      </c>
      <c r="E497" s="5" t="inlineStr">
        <is>
          <t>350,00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=HYPERLINK("https://rossileiloes.com.br/lote/detalhe/63005", "959")</f>
      </c>
      <c r="B498" s="4" t="s">
        <f>=HYPERLINK("https://rossileiloes.com.br/lote/detalhe/63005", " Escultura importada  anjo, em resina italiana  Montefiori, em  policromia, acompanha caixa original, marcado com etiqueta original na parte posterior. Medidas: 30 cm de altura x 20 cm de largura")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300,00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=HYPERLINK("https://rossileiloes.com.br/lote/detalhe/63007", "960")</f>
      </c>
      <c r="B499" s="4" t="s">
        <f>=HYPERLINK("https://rossileiloes.com.br/lote/detalhe/63007", " Jogo para chá e café em metal espessurado a prata Medidas: maior 13,5 cm de altura x 19 cm de largura / menor 8,7 cm de altura x 13,5 cm de largura")</f>
      </c>
      <c r="C499" s="4" t="inlineStr">
        <is>
          <t>Vendido</t>
        </is>
      </c>
      <c r="D499" s="4" t="inlineStr">
        <is>
          <t>1</t>
        </is>
      </c>
      <c r="E499" s="5" t="inlineStr">
        <is>
          <t>200,00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=HYPERLINK("https://rossileiloes.com.br/lote/detalhe/63012", "961")</f>
      </c>
      <c r="B500" s="4" t="s">
        <f>=HYPERLINK("https://rossileiloes.com.br/lote/detalhe/63012", " Buffet em jacarandá baiano  Alt: 85 cm; larg.: 195 cm; prof.: 52 cm")</f>
      </c>
      <c r="C500" s="4" t="inlineStr">
        <is>
          <t>Não vendido</t>
        </is>
      </c>
      <c r="D500" s="4" t="inlineStr">
        <is>
          <t>1</t>
        </is>
      </c>
      <c r="E500" s="5" t="inlineStr">
        <is>
          <t>850,00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=HYPERLINK("https://rossileiloes.com.br/lote/detalhe/63011", "962")</f>
      </c>
      <c r="B501" s="4" t="s">
        <f>=HYPERLINK("https://rossileiloes.com.br/lote/detalhe/63011", " Vaso importado  em porcelana oriental com esmaltagem branca vitrificada, borda filetada a ouro: 20,3 cm de altura")</f>
      </c>
      <c r="C501" s="4" t="inlineStr">
        <is>
          <t>Não vendido</t>
        </is>
      </c>
      <c r="D501" s="4" t="inlineStr">
        <is>
          <t>0</t>
        </is>
      </c>
      <c r="E501" s="5" t="inlineStr">
        <is>
          <t>200,00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=HYPERLINK("https://rossileiloes.com.br/lote/detalhe/63013", "963")</f>
      </c>
      <c r="B502" s="4" t="s">
        <f>=HYPERLINK("https://rossileiloes.com.br/lote/detalhe/63013", " 4  taças para martini em cristal lapidado com folhas e flor, 14 x 12,5 cm.")</f>
      </c>
      <c r="C502" s="4" t="inlineStr">
        <is>
          <t>Vendido</t>
        </is>
      </c>
      <c r="D502" s="4" t="inlineStr">
        <is>
          <t>1</t>
        </is>
      </c>
      <c r="E502" s="5" t="inlineStr">
        <is>
          <t>200,00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=HYPERLINK("https://rossileiloes.com.br/lote/detalhe/63015", "964")</f>
      </c>
      <c r="B503" s="4" t="s">
        <f>=HYPERLINK("https://rossileiloes.com.br/lote/detalhe/63015", " Prato de parede decorativo  em pewter, Medidas: 25,8 cm de diâmetro 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150,00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=HYPERLINK("https://rossileiloes.com.br/lote/detalhe/63016", "965")</f>
      </c>
      <c r="B504" s="4" t="s">
        <f>=HYPERLINK("https://rossileiloes.com.br/lote/detalhe/63016", " Escultura madeira jacaré entalhada 130cm de comprimento")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950,00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=HYPERLINK("https://rossileiloes.com.br/lote/detalhe/63014", "966")</f>
      </c>
      <c r="B505" s="4" t="s">
        <f>=HYPERLINK("https://rossileiloes.com.br/lote/detalhe/63014", " Descanso para garrafa em metal espessurado à prata, sem uso, 18,5x4,5 cm (DxA).")</f>
      </c>
      <c r="C505" s="4" t="inlineStr">
        <is>
          <t>Não vendido</t>
        </is>
      </c>
      <c r="D505" s="4" t="inlineStr">
        <is>
          <t>0</t>
        </is>
      </c>
      <c r="E505" s="5" t="inlineStr">
        <is>
          <t>150,00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=HYPERLINK("https://rossileiloes.com.br/lote/detalhe/63017", "967")</f>
      </c>
      <c r="B506" s="4" t="s">
        <f>=HYPERLINK("https://rossileiloes.com.br/lote/detalhe/63017", " Bule em porcelana  chinesa 22x16,5 cm")</f>
      </c>
      <c r="C506" s="4" t="inlineStr">
        <is>
          <t>Não vendido</t>
        </is>
      </c>
      <c r="D506" s="4" t="inlineStr">
        <is>
          <t>0</t>
        </is>
      </c>
      <c r="E506" s="5" t="inlineStr">
        <is>
          <t>200,00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=HYPERLINK("https://rossileiloes.com.br/lote/detalhe/63020", "968")</f>
      </c>
      <c r="B507" s="4" t="s">
        <f>=HYPERLINK("https://rossileiloes.com.br/lote/detalhe/63020", " Floreira em metal espessurado a prata,  Medidas: 39 cm de comprimento x 15 cm de largura")</f>
      </c>
      <c r="C507" s="4" t="inlineStr">
        <is>
          <t>Não vendido</t>
        </is>
      </c>
      <c r="D507" s="4" t="inlineStr">
        <is>
          <t>0</t>
        </is>
      </c>
      <c r="E507" s="5" t="inlineStr">
        <is>
          <t>200,00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=HYPERLINK("https://rossileiloes.com.br/lote/detalhe/63018", "969")</f>
      </c>
      <c r="B508" s="4" t="s">
        <f>=HYPERLINK("https://rossileiloes.com.br/lote/detalhe/63018", " Vaso em porcelana chinesa,  SATSUMA pintura floral policromada. Medidas: 30 cm de altura x 22 cm de largura ")</f>
      </c>
      <c r="C508" s="4" t="inlineStr">
        <is>
          <t>Não vendido</t>
        </is>
      </c>
      <c r="D508" s="4" t="inlineStr">
        <is>
          <t>0</t>
        </is>
      </c>
      <c r="E508" s="5" t="inlineStr">
        <is>
          <t>450,00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=HYPERLINK("https://rossileiloes.com.br/lote/detalhe/63019", "970")</f>
      </c>
      <c r="B509" s="4" t="s">
        <f>=HYPERLINK("https://rossileiloes.com.br/lote/detalhe/63019", " Lote com 6 taças para sobremesa em metal prateado, bojo liso . Medidas: 8,5 cm de altura x 9 cm de diâmetro.")</f>
      </c>
      <c r="C509" s="4" t="inlineStr">
        <is>
          <t>Não vendido</t>
        </is>
      </c>
      <c r="D509" s="4" t="inlineStr">
        <is>
          <t>0</t>
        </is>
      </c>
      <c r="E509" s="5" t="inlineStr">
        <is>
          <t>100,00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=HYPERLINK("https://rossileiloes.com.br/lote/detalhe/63024", "971")</f>
      </c>
      <c r="B510" s="4" t="s">
        <f>=HYPERLINK("https://rossileiloes.com.br/lote/detalhe/63024", " Lote com 6 taças para vinho, importadas cristais sanit louis  em cristal francês, Medidas:16,5 cm de altura / e 14,3 cm de altura 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250,00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=HYPERLINK("https://rossileiloes.com.br/lote/detalhe/63021", "972")</f>
      </c>
      <c r="B511" s="4" t="s">
        <f>=HYPERLINK("https://rossileiloes.com.br/lote/detalhe/63021", " Coluna em madeira nobre com abajur em formato de querubim em antimônio acoplado em estrutura circular escalonada, coluna torneada e base circular escalonada. Medidas: 1,33 cm de alturar")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350,00</t>
        </is>
      </c>
      <c r="F511" s="4" t="inlineStr">
        <is>
          <t>50.00</t>
        </is>
      </c>
    </row>
    <row collapsed="false" customFormat="false" customHeight="false" hidden="false" ht="12.1" outlineLevel="0" r="512">
      <c r="A512" s="5" t="s">
        <f>=HYPERLINK("https://rossileiloes.com.br/lote/detalhe/63023", "973")</f>
      </c>
      <c r="B512" s="4" t="s">
        <f>=HYPERLINK("https://rossileiloes.com.br/lote/detalhe/63023", " Relógio importado da marca Rubinich confeccionado em faiança com esmaltagem branca vitrificada, chines -   50 cm de altura x 37 cm de largura")</f>
      </c>
      <c r="C512" s="4" t="inlineStr">
        <is>
          <t>Não vendido</t>
        </is>
      </c>
      <c r="D512" s="4" t="inlineStr">
        <is>
          <t>0</t>
        </is>
      </c>
      <c r="E512" s="5" t="inlineStr">
        <is>
          <t>900,00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=HYPERLINK("https://rossileiloes.com.br/lote/detalhe/63022", "974")</f>
      </c>
      <c r="B513" s="4" t="s">
        <f>=HYPERLINK("https://rossileiloes.com.br/lote/detalhe/63022", " Dois copos em cristal translúcido com suporte de metal prateado uma (1) bandeja em formato retangular confeccionado em metal espessurado a prata 26,4 cm de comprimento  (um dos copos possui um bicado na borda)")</f>
      </c>
      <c r="C513" s="4" t="inlineStr">
        <is>
          <t>Não vendido</t>
        </is>
      </c>
      <c r="D513" s="4" t="inlineStr">
        <is>
          <t>0</t>
        </is>
      </c>
      <c r="E513" s="5" t="inlineStr">
        <is>
          <t>200,00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=HYPERLINK("https://rossileiloes.com.br/lote/detalhe/63025", "975")</f>
      </c>
      <c r="B514" s="4" t="s">
        <f>=HYPERLINK("https://rossileiloes.com.br/lote/detalhe/63025", " Chanukiah importado em bronze judaico. 17 cm x 15 cm ")</f>
      </c>
      <c r="C514" s="4" t="inlineStr">
        <is>
          <t>Não vendido</t>
        </is>
      </c>
      <c r="D514" s="4" t="inlineStr">
        <is>
          <t>0</t>
        </is>
      </c>
      <c r="E514" s="5" t="inlineStr">
        <is>
          <t>300,00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=HYPERLINK("https://rossileiloes.com.br/lote/detalhe/63037", "976")</f>
      </c>
      <c r="B515" s="4" t="s">
        <f>=HYPERLINK("https://rossileiloes.com.br/lote/detalhe/63037", " LOTE COM 6 RAROS CACHIMBOS SÉCULO XX. (JCI, CARTER) -  EM MADEIRA COM A PITEIRA EM BAQUELITE, À SABER: 4 (QUATRO) CACHIMBOS JCI (J. CARNEIRO ")</f>
      </c>
      <c r="C515" s="4" t="inlineStr">
        <is>
          <t>Não vendido</t>
        </is>
      </c>
      <c r="D515" s="4" t="inlineStr">
        <is>
          <t>0</t>
        </is>
      </c>
      <c r="E515" s="5" t="inlineStr">
        <is>
          <t>400,00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=HYPERLINK("https://rossileiloes.com.br/lote/detalhe/63027", "977")</f>
      </c>
      <c r="B516" s="4" t="s">
        <f>=HYPERLINK("https://rossileiloes.com.br/lote/detalhe/63027", " JARRA EM VIDRO SOPRADO, TÉCNICA DE MURANO, TONALIDADE ROSÊ. MED: 18 X 16 X 15 CM")</f>
      </c>
      <c r="C516" s="4" t="inlineStr">
        <is>
          <t>Não vendido</t>
        </is>
      </c>
      <c r="D516" s="4" t="inlineStr">
        <is>
          <t>0</t>
        </is>
      </c>
      <c r="E516" s="5" t="inlineStr">
        <is>
          <t>250,00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=HYPERLINK("https://rossileiloes.com.br/lote/detalhe/63030", "978")</f>
      </c>
      <c r="B517" s="4" t="s">
        <f>=HYPERLINK("https://rossileiloes.com.br/lote/detalhe/63030", " LOTE COM 6 RAROS CACHIMBOS SÉCULO XX. (JCI, CARTER) -  EM MADEIRA COM A PITEIRA EM BAQUELITE, À SABER: 4 (QUATRO) CACHIMBOS JCI (J. CARNEIRO 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400,00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=HYPERLINK("https://rossileiloes.com.br/lote/detalhe/63028", "979")</f>
      </c>
      <c r="B518" s="4" t="s">
        <f>=HYPERLINK("https://rossileiloes.com.br/lote/detalhe/63028", " RECHAUD EM METAL ESPESSURADO A PRATA COM BOJO LISO, COM REFRATÁRIO MED: 21 X 24 X 39 CM")</f>
      </c>
      <c r="C518" s="4" t="inlineStr">
        <is>
          <t>Vendido</t>
        </is>
      </c>
      <c r="D518" s="4" t="inlineStr">
        <is>
          <t>1</t>
        </is>
      </c>
      <c r="E518" s="5" t="inlineStr">
        <is>
          <t>450,00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=HYPERLINK("https://rossileiloes.com.br/lote/detalhe/63029", "980")</f>
      </c>
      <c r="B519" s="4" t="s">
        <f>=HYPERLINK("https://rossileiloes.com.br/lote/detalhe/63029", " Relógio Salvador dali dourado")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150,00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=HYPERLINK("https://rossileiloes.com.br/lote/detalhe/63031", "981")</f>
      </c>
      <c r="B520" s="4" t="s">
        <f>=HYPERLINK("https://rossileiloes.com.br/lote/detalhe/63031", " Faqueiro de aço inox banhado,  78 peças importado Japão")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800,00</t>
        </is>
      </c>
      <c r="F520" s="4" t="inlineStr">
        <is>
          <t>50.00</t>
        </is>
      </c>
    </row>
    <row collapsed="false" customFormat="false" customHeight="false" hidden="false" ht="12.1" outlineLevel="0" r="521">
      <c r="A521" s="5" t="s">
        <f>=HYPERLINK("https://rossileiloes.com.br/lote/detalhe/63032", "982")</f>
      </c>
      <c r="B521" s="4" t="s">
        <f>=HYPERLINK("https://rossileiloes.com.br/lote/detalhe/63032", "  Cadeira de balanço de madeira nobre - 59cm de comprimento por 50cm de profundidade e 73cm de altura ")</f>
      </c>
      <c r="C521" s="4" t="inlineStr">
        <is>
          <t>Vendido</t>
        </is>
      </c>
      <c r="D521" s="4" t="inlineStr">
        <is>
          <t>2</t>
        </is>
      </c>
      <c r="E521" s="5" t="inlineStr">
        <is>
          <t>700,00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=HYPERLINK("https://rossileiloes.com.br/lote/detalhe/63033", "983")</f>
      </c>
      <c r="B522" s="4" t="s">
        <f>=HYPERLINK("https://rossileiloes.com.br/lote/detalhe/63033", " Saleiro e pimenteiro de metal prateado com cabos de madeira ")</f>
      </c>
      <c r="C522" s="4" t="inlineStr">
        <is>
          <t>Não vendido</t>
        </is>
      </c>
      <c r="D522" s="4" t="inlineStr">
        <is>
          <t>0</t>
        </is>
      </c>
      <c r="E522" s="5" t="inlineStr">
        <is>
          <t>150,00</t>
        </is>
      </c>
      <c r="F522" s="4" t="inlineStr">
        <is>
          <t>50.00</t>
        </is>
      </c>
    </row>
    <row collapsed="false" customFormat="false" customHeight="false" hidden="false" ht="12.1" outlineLevel="0" r="523">
      <c r="A523" s="5" t="s">
        <f>=HYPERLINK("https://rossileiloes.com.br/lote/detalhe/63036", "984")</f>
      </c>
      <c r="B523" s="4" t="s">
        <f>=HYPERLINK("https://rossileiloes.com.br/lote/detalhe/63036", " Lote com 14 pratos de sobremesa de louça importados  inglesa")</f>
      </c>
      <c r="C523" s="4" t="inlineStr">
        <is>
          <t>Não vendido</t>
        </is>
      </c>
      <c r="D523" s="4" t="inlineStr">
        <is>
          <t>0</t>
        </is>
      </c>
      <c r="E523" s="5" t="inlineStr">
        <is>
          <t>500,00</t>
        </is>
      </c>
      <c r="F523" s="4" t="inlineStr">
        <is>
          <t>50.00</t>
        </is>
      </c>
    </row>
    <row collapsed="false" customFormat="false" customHeight="false" hidden="false" ht="12.1" outlineLevel="0" r="524">
      <c r="A524" s="5" t="s">
        <f>=HYPERLINK("https://rossileiloes.com.br/lote/detalhe/63034", "985")</f>
      </c>
      <c r="B524" s="4" t="s">
        <f>=HYPERLINK("https://rossileiloes.com.br/lote/detalhe/63034", " Porta cigarros de metal prateado  diâmetro 6cm e altura 8cm ")</f>
      </c>
      <c r="C524" s="4" t="inlineStr">
        <is>
          <t>Não vendido</t>
        </is>
      </c>
      <c r="D524" s="4" t="inlineStr">
        <is>
          <t>0</t>
        </is>
      </c>
      <c r="E524" s="5" t="inlineStr">
        <is>
          <t>150,00</t>
        </is>
      </c>
      <c r="F524" s="4" t="inlineStr">
        <is>
          <t>50.00</t>
        </is>
      </c>
    </row>
    <row collapsed="false" customFormat="false" customHeight="false" hidden="false" ht="12.1" outlineLevel="0" r="525">
      <c r="A525" s="5" t="s">
        <f>=HYPERLINK("https://rossileiloes.com.br/lote/detalhe/63035", "986")</f>
      </c>
      <c r="B525" s="4" t="s">
        <f>=HYPERLINK("https://rossileiloes.com.br/lote/detalhe/63035", " Antigo Telefone Orelhão De Ficha Daruma completo vai com 20 fichas telefônicas originais.")</f>
      </c>
      <c r="C525" s="4" t="inlineStr">
        <is>
          <t>Não vendido</t>
        </is>
      </c>
      <c r="D525" s="4" t="inlineStr">
        <is>
          <t>0</t>
        </is>
      </c>
      <c r="E525" s="5" t="inlineStr">
        <is>
          <t>450,00</t>
        </is>
      </c>
      <c r="F525" s="4" t="inlineStr">
        <is>
          <t>50.00</t>
        </is>
      </c>
    </row>
    <row collapsed="false" customFormat="false" customHeight="false" hidden="false" ht="12.1" outlineLevel="0" r="526">
      <c r="A526" s="5" t="s">
        <f>=HYPERLINK("https://rossileiloes.com.br/lote/detalhe/63026", "987")</f>
      </c>
      <c r="B526" s="4" t="s">
        <f>=HYPERLINK("https://rossileiloes.com.br/lote/detalhe/63026", " dois castiçais em bronze tamanho16x7 cm.")</f>
      </c>
      <c r="C526" s="4" t="inlineStr">
        <is>
          <t>Não vendido</t>
        </is>
      </c>
      <c r="D526" s="4" t="inlineStr">
        <is>
          <t>0</t>
        </is>
      </c>
      <c r="E526" s="5" t="inlineStr">
        <is>
          <t>150,00</t>
        </is>
      </c>
      <c r="F526" s="4" t="inlineStr">
        <is>
          <t>50.00</t>
        </is>
      </c>
    </row>
    <row collapsed="false" customFormat="false" customHeight="false" hidden="false" ht="12.1" outlineLevel="0" r="527">
      <c r="A527" s="5" t="s">
        <f>=HYPERLINK("https://rossileiloes.com.br/lote/detalhe/63038", "988")</f>
      </c>
      <c r="B527" s="4" t="s">
        <f>=HYPERLINK("https://rossileiloes.com.br/lote/detalhe/63038", " Barômetro , hidrômetro, termômetro com  relógio moido com chave em madeira 85 X 17 cm 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400,00</t>
        </is>
      </c>
      <c r="F527" s="4" t="inlineStr">
        <is>
          <t>50.00</t>
        </is>
      </c>
    </row>
    <row collapsed="false" customFormat="false" customHeight="false" hidden="false" ht="12.1" outlineLevel="0" r="528">
      <c r="A528" s="5" t="s">
        <f>=HYPERLINK("https://rossileiloes.com.br/lote/detalhe/63040", "989")</f>
      </c>
      <c r="B528" s="4" t="s">
        <f>=HYPERLINK("https://rossileiloes.com.br/lote/detalhe/63040", " Bandeja em metal, galeria vazada,Med. 45x17 cm")</f>
      </c>
      <c r="C528" s="4" t="inlineStr">
        <is>
          <t>Não vendido</t>
        </is>
      </c>
      <c r="D528" s="4" t="inlineStr">
        <is>
          <t>0</t>
        </is>
      </c>
      <c r="E528" s="5" t="inlineStr">
        <is>
          <t>200,00</t>
        </is>
      </c>
      <c r="F528" s="4" t="inlineStr">
        <is>
          <t>50.00</t>
        </is>
      </c>
    </row>
    <row collapsed="false" customFormat="false" customHeight="false" hidden="false" ht="12.1" outlineLevel="0" r="529">
      <c r="A529" s="5" t="s">
        <f>=HYPERLINK("https://rossileiloes.com.br/lote/detalhe/63041", "990")</f>
      </c>
      <c r="B529" s="4" t="s">
        <f>=HYPERLINK("https://rossileiloes.com.br/lote/detalhe/63041", " Lote com 06 taças importadas italianas, decoradas com desenhos gregos em ouro. Med. 18x6 cm")</f>
      </c>
      <c r="C529" s="4" t="inlineStr">
        <is>
          <t>Vendido</t>
        </is>
      </c>
      <c r="D529" s="4" t="inlineStr">
        <is>
          <t>1</t>
        </is>
      </c>
      <c r="E529" s="5" t="inlineStr">
        <is>
          <t>300,00</t>
        </is>
      </c>
      <c r="F529" s="4" t="inlineStr">
        <is>
          <t>50.00</t>
        </is>
      </c>
    </row>
    <row collapsed="false" customFormat="false" customHeight="false" hidden="false" ht="12.1" outlineLevel="0" r="530">
      <c r="A530" s="5" t="s">
        <f>=HYPERLINK("https://rossileiloes.com.br/lote/detalhe/63039", "991")</f>
      </c>
      <c r="B530" s="4" t="s">
        <f>=HYPERLINK("https://rossileiloes.com.br/lote/detalhe/63039", " Relógio de parede Dimep  pintura automotiva Medidas : diâmetro 45 cm e profundidade 6 cm.")</f>
      </c>
      <c r="C530" s="4" t="inlineStr">
        <is>
          <t>Não vendido</t>
        </is>
      </c>
      <c r="D530" s="4" t="inlineStr">
        <is>
          <t>0</t>
        </is>
      </c>
      <c r="E530" s="5" t="inlineStr">
        <is>
          <t>150,00</t>
        </is>
      </c>
      <c r="F530" s="4" t="inlineStr">
        <is>
          <t>50.00</t>
        </is>
      </c>
    </row>
    <row collapsed="false" customFormat="false" customHeight="false" hidden="false" ht="12.1" outlineLevel="0" r="531">
      <c r="A531" s="5" t="s">
        <f>=HYPERLINK("https://rossileiloes.com.br/lote/detalhe/63044", "992")</f>
      </c>
      <c r="B531" s="4" t="s">
        <f>=HYPERLINK("https://rossileiloes.com.br/lote/detalhe/63044", " Bandeja  em metal Med. 58x32 cm.")</f>
      </c>
      <c r="C531" s="4" t="inlineStr">
        <is>
          <t>Não vendido</t>
        </is>
      </c>
      <c r="D531" s="4" t="inlineStr">
        <is>
          <t>0</t>
        </is>
      </c>
      <c r="E531" s="5" t="inlineStr">
        <is>
          <t>300,00</t>
        </is>
      </c>
      <c r="F531" s="4" t="inlineStr">
        <is>
          <t>50.00</t>
        </is>
      </c>
    </row>
    <row collapsed="false" customFormat="false" customHeight="false" hidden="false" ht="12.1" outlineLevel="0" r="532">
      <c r="A532" s="5" t="s">
        <f>=HYPERLINK("https://rossileiloes.com.br/lote/detalhe/63043", "993")</f>
      </c>
      <c r="B532" s="4" t="s">
        <f>=HYPERLINK("https://rossileiloes.com.br/lote/detalhe/63043", " lote com 06 taças importadas italianas, decoradas com desenhos gregos em ouro. Med. 18x6 cm")</f>
      </c>
      <c r="C532" s="4" t="inlineStr">
        <is>
          <t>Vendido</t>
        </is>
      </c>
      <c r="D532" s="4" t="inlineStr">
        <is>
          <t>1</t>
        </is>
      </c>
      <c r="E532" s="5" t="inlineStr">
        <is>
          <t>300,00</t>
        </is>
      </c>
      <c r="F532" s="4" t="inlineStr">
        <is>
          <t>50.00</t>
        </is>
      </c>
    </row>
    <row collapsed="false" customFormat="false" customHeight="false" hidden="false" ht="12.1" outlineLevel="0" r="533">
      <c r="A533" s="5" t="s">
        <f>=HYPERLINK("https://rossileiloes.com.br/lote/detalhe/63042", "994")</f>
      </c>
      <c r="B533" s="4" t="s">
        <f>=HYPERLINK("https://rossileiloes.com.br/lote/detalhe/63042", " Centro de mesa em madeira  com pássaros em metal. Med. 12x30 cm. ")</f>
      </c>
      <c r="C533" s="4" t="inlineStr">
        <is>
          <t>Não vendido</t>
        </is>
      </c>
      <c r="D533" s="4" t="inlineStr">
        <is>
          <t>0</t>
        </is>
      </c>
      <c r="E533" s="5" t="inlineStr">
        <is>
          <t>400,00</t>
        </is>
      </c>
      <c r="F533" s="4" t="inlineStr">
        <is>
          <t>50.00</t>
        </is>
      </c>
    </row>
    <row collapsed="false" customFormat="false" customHeight="false" hidden="false" ht="12.1" outlineLevel="0" r="534">
      <c r="A534" s="5" t="s">
        <f>=HYPERLINK("https://rossileiloes.com.br/lote/detalhe/63045", "995")</f>
      </c>
      <c r="B534" s="4" t="s">
        <f>=HYPERLINK("https://rossileiloes.com.br/lote/detalhe/63045", " Galeteiro de metal prateado inglês, altura 27cm")</f>
      </c>
      <c r="C534" s="4" t="inlineStr">
        <is>
          <t>Vendido</t>
        </is>
      </c>
      <c r="D534" s="4" t="inlineStr">
        <is>
          <t>1</t>
        </is>
      </c>
      <c r="E534" s="5" t="inlineStr">
        <is>
          <t>300,00</t>
        </is>
      </c>
      <c r="F534" s="4" t="inlineStr">
        <is>
          <t>50.00</t>
        </is>
      </c>
    </row>
    <row collapsed="false" customFormat="false" customHeight="false" hidden="false" ht="12.1" outlineLevel="0" r="535">
      <c r="A535" s="5" t="s">
        <f>=HYPERLINK("https://rossileiloes.com.br/lote/detalhe/63046", "996")</f>
      </c>
      <c r="B535" s="4" t="s">
        <f>=HYPERLINK("https://rossileiloes.com.br/lote/detalhe/63046", " Sopeira com rechaud de metal prateado Wolf - altura 36cm")</f>
      </c>
      <c r="C535" s="4" t="inlineStr">
        <is>
          <t>Vendido</t>
        </is>
      </c>
      <c r="D535" s="4" t="inlineStr">
        <is>
          <t>1</t>
        </is>
      </c>
      <c r="E535" s="5" t="inlineStr">
        <is>
          <t>350,00</t>
        </is>
      </c>
      <c r="F535" s="4" t="inlineStr">
        <is>
          <t>50.00</t>
        </is>
      </c>
    </row>
    <row collapsed="false" customFormat="false" customHeight="false" hidden="false" ht="12.1" outlineLevel="0" r="536">
      <c r="A536" s="5" t="s">
        <f>=HYPERLINK("https://rossileiloes.com.br/lote/detalhe/63047", "997")</f>
      </c>
      <c r="B536" s="4" t="s">
        <f>=HYPERLINK("https://rossileiloes.com.br/lote/detalhe/63047", " Escultura em bronze o Faizão, 32 cm")</f>
      </c>
      <c r="C536" s="4" t="inlineStr">
        <is>
          <t>Não vendido</t>
        </is>
      </c>
      <c r="D536" s="4" t="inlineStr">
        <is>
          <t>0</t>
        </is>
      </c>
      <c r="E536" s="5" t="inlineStr">
        <is>
          <t>200,00</t>
        </is>
      </c>
      <c r="F536" s="4" t="inlineStr">
        <is>
          <t>50.00</t>
        </is>
      </c>
    </row>
    <row collapsed="false" customFormat="false" customHeight="false" hidden="false" ht="12.1" outlineLevel="0" r="537">
      <c r="A537" s="5" t="s">
        <f>=HYPERLINK("https://rossileiloes.com.br/lote/detalhe/63048", "998")</f>
      </c>
      <c r="B537" s="4" t="s">
        <f>=HYPERLINK("https://rossileiloes.com.br/lote/detalhe/63048", " Saleiro e pimenteiro importado,perdiz - Gucci - Itália aparentemente prata - comprimento 7cm")</f>
      </c>
      <c r="C537" s="4" t="inlineStr">
        <is>
          <t>Não vendido</t>
        </is>
      </c>
      <c r="D537" s="4" t="inlineStr">
        <is>
          <t>0</t>
        </is>
      </c>
      <c r="E537" s="5" t="inlineStr">
        <is>
          <t>900,00</t>
        </is>
      </c>
      <c r="F537" s="4" t="inlineStr">
        <is>
          <t>50.00</t>
        </is>
      </c>
    </row>
    <row collapsed="false" customFormat="false" customHeight="false" hidden="false" ht="12.1" outlineLevel="0" r="538">
      <c r="A538" s="5" t="s">
        <f>=HYPERLINK("https://rossileiloes.com.br/lote/detalhe/63049", "999")</f>
      </c>
      <c r="B538" s="4" t="s">
        <f>=HYPERLINK("https://rossileiloes.com.br/lote/detalhe/63049", " Esculturas importada carruagem, estojo de vidro, 26 cm, item decorativo.")</f>
      </c>
      <c r="C538" s="4" t="inlineStr">
        <is>
          <t>Não vendido</t>
        </is>
      </c>
      <c r="D538" s="4" t="inlineStr">
        <is>
          <t>0</t>
        </is>
      </c>
      <c r="E538" s="5" t="inlineStr">
        <is>
          <t>250,00</t>
        </is>
      </c>
      <c r="F538" s="4" t="inlineStr">
        <is>
          <t>50.00</t>
        </is>
      </c>
    </row>
    <row collapsed="false" customFormat="false" customHeight="false" hidden="false" ht="12.1" outlineLevel="0" r="539">
      <c r="A539" s="5" t="s">
        <f>=HYPERLINK("https://rossileiloes.com.br/lote/detalhe/63050", "1000")</f>
      </c>
      <c r="B539" s="4" t="s">
        <f>=HYPERLINK("https://rossileiloes.com.br/lote/detalhe/63050", " antigo porta Caixa fosforo samurai de metal ")</f>
      </c>
      <c r="C539" s="4" t="inlineStr">
        <is>
          <t>Não vendido</t>
        </is>
      </c>
      <c r="D539" s="4" t="inlineStr">
        <is>
          <t>0</t>
        </is>
      </c>
      <c r="E539" s="5" t="inlineStr">
        <is>
          <t>100,00</t>
        </is>
      </c>
      <c r="F539" s="4" t="inlineStr">
        <is>
          <t>50.00</t>
        </is>
      </c>
    </row>
    <row collapsed="false" customFormat="false" customHeight="false" hidden="false" ht="12.1" outlineLevel="0" r="540">
      <c r="A540" s="5" t="s">
        <f>=HYPERLINK("https://rossileiloes.com.br/lote/detalhe/63051", "1001")</f>
      </c>
      <c r="B540" s="4" t="s">
        <f>=HYPERLINK("https://rossileiloes.com.br/lote/detalhe/63051", " LOTE COM 6 FLUTS PARA CHAMPAGNE EM CRISTAL  LAPIDAÇÃO DEDÃO E LOSANGOS, . MED: 19 X 5,5 CM")</f>
      </c>
      <c r="C540" s="4" t="inlineStr">
        <is>
          <t>Vendido</t>
        </is>
      </c>
      <c r="D540" s="4" t="inlineStr">
        <is>
          <t>1</t>
        </is>
      </c>
      <c r="E540" s="5" t="inlineStr">
        <is>
          <t>150,00</t>
        </is>
      </c>
      <c r="F540" s="4" t="inlineStr">
        <is>
          <t>50.00</t>
        </is>
      </c>
    </row>
    <row collapsed="false" customFormat="false" customHeight="false" hidden="false" ht="12.1" outlineLevel="0" r="541">
      <c r="A541" s="5" t="s">
        <f>=HYPERLINK("https://rossileiloes.com.br/lote/detalhe/63052", "1002")</f>
      </c>
      <c r="B541" s="4" t="s">
        <f>=HYPERLINK("https://rossileiloes.com.br/lote/detalhe/63052", " conjunto chines, Séc XIX período " Tao Kuang ", ao gosto Família Rosa, são 12 pratos para bolo, em porcelana  esmaltada a mão, padrão Mandarim. Com selo vermelho. Med 16 cm")</f>
      </c>
      <c r="C541" s="4" t="inlineStr">
        <is>
          <t>Não vendido</t>
        </is>
      </c>
      <c r="D541" s="4" t="inlineStr">
        <is>
          <t>0</t>
        </is>
      </c>
      <c r="E541" s="5" t="inlineStr">
        <is>
          <t>800,00</t>
        </is>
      </c>
      <c r="F541" s="4" t="inlineStr">
        <is>
          <t>50.00</t>
        </is>
      </c>
    </row>
    <row collapsed="false" customFormat="false" customHeight="false" hidden="false" ht="12.1" outlineLevel="0" r="542">
      <c r="A542" s="5" t="s">
        <f>=HYPERLINK("https://rossileiloes.com.br/lote/detalhe/63053", "1003")</f>
      </c>
      <c r="B542" s="4" t="s">
        <f>=HYPERLINK("https://rossileiloes.com.br/lote/detalhe/63053", " par de castiçais importados israelenses em metal dourado,  Med 19 cm.")</f>
      </c>
      <c r="C542" s="4" t="inlineStr">
        <is>
          <t>Não vendido</t>
        </is>
      </c>
      <c r="D542" s="4" t="inlineStr">
        <is>
          <t>0</t>
        </is>
      </c>
      <c r="E542" s="5" t="inlineStr">
        <is>
          <t>150,00</t>
        </is>
      </c>
      <c r="F542" s="4" t="inlineStr">
        <is>
          <t>50.00</t>
        </is>
      </c>
    </row>
    <row collapsed="false" customFormat="false" customHeight="false" hidden="false" ht="12.1" outlineLevel="0" r="543">
      <c r="A543" s="5" t="s">
        <f>=HYPERLINK("https://rossileiloes.com.br/lote/detalhe/63057", "1004")</f>
      </c>
      <c r="B543" s="4" t="s">
        <f>=HYPERLINK("https://rossileiloes.com.br/lote/detalhe/63057", " cinzeiro importado chinês um 13x16 ")</f>
      </c>
      <c r="C543" s="4" t="inlineStr">
        <is>
          <t>Não vendido</t>
        </is>
      </c>
      <c r="D543" s="4" t="inlineStr">
        <is>
          <t>0</t>
        </is>
      </c>
      <c r="E543" s="5" t="inlineStr">
        <is>
          <t>100,00</t>
        </is>
      </c>
      <c r="F543" s="4" t="inlineStr">
        <is>
          <t>50.00</t>
        </is>
      </c>
    </row>
    <row collapsed="false" customFormat="false" customHeight="false" hidden="false" ht="12.1" outlineLevel="0" r="544">
      <c r="A544" s="5" t="s">
        <f>=HYPERLINK("https://rossileiloes.com.br/lote/detalhe/63058", "1005")</f>
      </c>
      <c r="B544" s="4" t="s">
        <f>=HYPERLINK("https://rossileiloes.com.br/lote/detalhe/63058", " placa tailandesa em madeira nobre patinada, esculpida e pintada a mao entalhada, realçada a prata, representando Med 18x100 cm")</f>
      </c>
      <c r="C544" s="4" t="inlineStr">
        <is>
          <t>Não vendido</t>
        </is>
      </c>
      <c r="D544" s="4" t="inlineStr">
        <is>
          <t>0</t>
        </is>
      </c>
      <c r="E544" s="5" t="inlineStr">
        <is>
          <t>300,00</t>
        </is>
      </c>
      <c r="F544" s="4" t="inlineStr">
        <is>
          <t>50.00</t>
        </is>
      </c>
    </row>
    <row collapsed="false" customFormat="false" customHeight="false" hidden="false" ht="12.1" outlineLevel="0" r="545">
      <c r="A545" s="5" t="s">
        <f>=HYPERLINK("https://rossileiloes.com.br/lote/detalhe/63056", "1006")</f>
      </c>
      <c r="B545" s="4" t="s">
        <f>=HYPERLINK("https://rossileiloes.com.br/lote/detalhe/63056", " centro de mesa SATZUMA importado  chines, em porcelana, ao gosto policromado e realçada a ouro, 25x27 cm . Peça marcada ao fundo")</f>
      </c>
      <c r="C545" s="4" t="inlineStr">
        <is>
          <t>Não vendido</t>
        </is>
      </c>
      <c r="D545" s="4" t="inlineStr">
        <is>
          <t>0</t>
        </is>
      </c>
      <c r="E545" s="5" t="inlineStr">
        <is>
          <t>800,00</t>
        </is>
      </c>
      <c r="F545" s="4" t="inlineStr">
        <is>
          <t>50.00</t>
        </is>
      </c>
    </row>
    <row collapsed="false" customFormat="false" customHeight="false" hidden="false" ht="12.1" outlineLevel="0" r="546">
      <c r="A546" s="5" t="s">
        <f>=HYPERLINK("https://rossileiloes.com.br/lote/detalhe/63054", "1007")</f>
      </c>
      <c r="B546" s="4" t="s">
        <f>=HYPERLINK("https://rossileiloes.com.br/lote/detalhe/63054", " bandeja em metal espessurado à prata, uma das  Medindo 67x24,5x5 cm")</f>
      </c>
      <c r="C546" s="4" t="inlineStr">
        <is>
          <t>Não vendido</t>
        </is>
      </c>
      <c r="D546" s="4" t="inlineStr">
        <is>
          <t>0</t>
        </is>
      </c>
      <c r="E546" s="5" t="inlineStr">
        <is>
          <t>250,00</t>
        </is>
      </c>
      <c r="F546" s="4" t="inlineStr">
        <is>
          <t>50.00</t>
        </is>
      </c>
    </row>
    <row collapsed="false" customFormat="false" customHeight="false" hidden="false" ht="12.1" outlineLevel="0" r="547">
      <c r="A547" s="5" t="s">
        <f>=HYPERLINK("https://rossileiloes.com.br/lote/detalhe/63055", "1008")</f>
      </c>
      <c r="B547" s="4" t="s">
        <f>=HYPERLINK("https://rossileiloes.com.br/lote/detalhe/63055", " Lote com 6 taças com recipientes internos, confeccionado em cristal translúcido. Medidas: taça 12,4 cm de altura x 9,6 cm de diâmetro da borda / recipiente 4,7 cm de altura x 10 cm de diâmetro da borda ")</f>
      </c>
      <c r="C547" s="4" t="inlineStr">
        <is>
          <t>Vendido</t>
        </is>
      </c>
      <c r="D547" s="4" t="inlineStr">
        <is>
          <t>1</t>
        </is>
      </c>
      <c r="E547" s="5" t="inlineStr">
        <is>
          <t>150,00</t>
        </is>
      </c>
      <c r="F547" s="4" t="inlineStr">
        <is>
          <t>50.00</t>
        </is>
      </c>
    </row>
    <row collapsed="false" customFormat="false" customHeight="false" hidden="false" ht="12.1" outlineLevel="0" r="548">
      <c r="A548" s="5" t="s">
        <f>=HYPERLINK("https://rossileiloes.com.br/lote/detalhe/63059", "1009")</f>
      </c>
      <c r="B548" s="4" t="s">
        <f>=HYPERLINK("https://rossileiloes.com.br/lote/detalhe/63059", " lote com 6  taças  sobremesa, década de 70, em metal dourado,  Medidas: 4,5 cm de altura x 8,5 cm de diâmetro")</f>
      </c>
      <c r="C548" s="4" t="inlineStr">
        <is>
          <t>Não vendido</t>
        </is>
      </c>
      <c r="D548" s="4" t="inlineStr">
        <is>
          <t>0</t>
        </is>
      </c>
      <c r="E548" s="5" t="inlineStr">
        <is>
          <t>150,00</t>
        </is>
      </c>
      <c r="F548" s="4" t="inlineStr">
        <is>
          <t>50.00</t>
        </is>
      </c>
    </row>
    <row collapsed="false" customFormat="false" customHeight="false" hidden="false" ht="12.1" outlineLevel="0" r="549">
      <c r="A549" s="5" t="s">
        <f>=HYPERLINK("https://rossileiloes.com.br/lote/detalhe/63061", "1010")</f>
      </c>
      <c r="B549" s="4" t="s">
        <f>=HYPERLINK("https://rossileiloes.com.br/lote/detalhe/63061", " Potiche importado em porcelana oriental , desenhos com flores, pássaros, paisagens orientais marcado no fundo. Medidas: 39,5 cm de altura x 58 cm de circunferência")</f>
      </c>
      <c r="C549" s="4" t="inlineStr">
        <is>
          <t>Não vendido</t>
        </is>
      </c>
      <c r="D549" s="4" t="inlineStr">
        <is>
          <t>0</t>
        </is>
      </c>
      <c r="E549" s="5" t="inlineStr">
        <is>
          <t>500,00</t>
        </is>
      </c>
      <c r="F549" s="4" t="inlineStr">
        <is>
          <t>50.00</t>
        </is>
      </c>
    </row>
    <row collapsed="false" customFormat="false" customHeight="false" hidden="false" ht="12.1" outlineLevel="0" r="550">
      <c r="A550" s="5" t="s">
        <f>=HYPERLINK("https://rossileiloes.com.br/lote/detalhe/63062", "1011")</f>
      </c>
      <c r="B550" s="4" t="s">
        <f>=HYPERLINK("https://rossileiloes.com.br/lote/detalhe/63062", " FAQUEIRO DOURADO peças: 6 talhares de serviço, 12 colheres de chá, 5 colheres de sobremesa, 2 garfos de sobremesa, 9 garfos de mesa, 5 colheres de sopa e 5 facas de mesa.  44 peças")</f>
      </c>
      <c r="C550" s="4" t="inlineStr">
        <is>
          <t>Não vendido</t>
        </is>
      </c>
      <c r="D550" s="4" t="inlineStr">
        <is>
          <t>0</t>
        </is>
      </c>
      <c r="E550" s="5" t="inlineStr">
        <is>
          <t>500,00</t>
        </is>
      </c>
      <c r="F550" s="4" t="inlineStr">
        <is>
          <t>50.00</t>
        </is>
      </c>
    </row>
    <row collapsed="false" customFormat="false" customHeight="false" hidden="false" ht="12.1" outlineLevel="0" r="551">
      <c r="A551" s="5" t="s">
        <f>=HYPERLINK("https://rossileiloes.com.br/lote/detalhe/63060", "1012")</f>
      </c>
      <c r="B551" s="4" t="s">
        <f>=HYPERLINK("https://rossileiloes.com.br/lote/detalhe/63060", " Relógio em madeira entalhada numerais romanos, quartz,tamanho : 95 cm x 31 cm x 11 cm")</f>
      </c>
      <c r="C551" s="4" t="inlineStr">
        <is>
          <t>Não vendido</t>
        </is>
      </c>
      <c r="D551" s="4" t="inlineStr">
        <is>
          <t>0</t>
        </is>
      </c>
      <c r="E551" s="5" t="inlineStr">
        <is>
          <t>950,00</t>
        </is>
      </c>
      <c r="F551" s="4" t="inlineStr">
        <is>
          <t>50.00</t>
        </is>
      </c>
    </row>
    <row collapsed="false" customFormat="false" customHeight="false" hidden="false" ht="12.1" outlineLevel="0" r="552">
      <c r="A552" s="5" t="s">
        <f>=HYPERLINK("https://rossileiloes.com.br/lote/detalhe/63063", "1013")</f>
      </c>
      <c r="B552" s="4" t="s">
        <f>=HYPERLINK("https://rossileiloes.com.br/lote/detalhe/63063", " bandeja de metal espessurado à prata maior comprimento 40 cm.")</f>
      </c>
      <c r="C552" s="4" t="inlineStr">
        <is>
          <t>Vendido</t>
        </is>
      </c>
      <c r="D552" s="4" t="inlineStr">
        <is>
          <t>1</t>
        </is>
      </c>
      <c r="E552" s="5" t="inlineStr">
        <is>
          <t>150,00</t>
        </is>
      </c>
      <c r="F552" s="4" t="inlineStr">
        <is>
          <t>50.00</t>
        </is>
      </c>
    </row>
    <row collapsed="false" customFormat="false" customHeight="false" hidden="false" ht="12.1" outlineLevel="0" r="553">
      <c r="A553" s="5" t="s">
        <f>=HYPERLINK("https://rossileiloes.com.br/lote/detalhe/63065", "1014")</f>
      </c>
      <c r="B553" s="4" t="s">
        <f>=HYPERLINK("https://rossileiloes.com.br/lote/detalhe/63065", " espada militar brasileira de coleção, período da República, com guarda em metal prateado cabo em madeira nobre, lâmina em aço marca da manufatura " A.E.C. na base da lâmina, guarda e bainha em metal espessurado a prata. Med.: 100 cm")</f>
      </c>
      <c r="C553" s="4" t="inlineStr">
        <is>
          <t>Não vendido</t>
        </is>
      </c>
      <c r="D553" s="4" t="inlineStr">
        <is>
          <t>0</t>
        </is>
      </c>
      <c r="E553" s="5" t="inlineStr">
        <is>
          <t>900,00</t>
        </is>
      </c>
      <c r="F553" s="4" t="inlineStr">
        <is>
          <t>50.00</t>
        </is>
      </c>
    </row>
    <row collapsed="false" customFormat="false" customHeight="false" hidden="false" ht="12.1" outlineLevel="0" r="554">
      <c r="A554" s="5" t="s">
        <f>=HYPERLINK("https://rossileiloes.com.br/lote/detalhe/63064", "1015")</f>
      </c>
      <c r="B554" s="4" t="s">
        <f>=HYPERLINK("https://rossileiloes.com.br/lote/detalhe/63064", " potiche de coleção no estilo chines,  em porcelana Med 26x20 cm")</f>
      </c>
      <c r="C554" s="4" t="inlineStr">
        <is>
          <t>Não vendido</t>
        </is>
      </c>
      <c r="D554" s="4" t="inlineStr">
        <is>
          <t>0</t>
        </is>
      </c>
      <c r="E554" s="5" t="inlineStr">
        <is>
          <t>300,00</t>
        </is>
      </c>
      <c r="F554" s="4" t="inlineStr">
        <is>
          <t>50.00</t>
        </is>
      </c>
    </row>
    <row collapsed="false" customFormat="false" customHeight="false" hidden="false" ht="12.1" outlineLevel="0" r="555">
      <c r="A555" s="5" t="s">
        <f>=HYPERLINK("https://rossileiloes.com.br/lote/detalhe/63066", "1016")</f>
      </c>
      <c r="B555" s="4" t="s">
        <f>=HYPERLINK("https://rossileiloes.com.br/lote/detalhe/63066", " conjunto para ovos, anos 50, no estilo francês, em porcelana, sao 5 (CINCO) porta ovos, 1 saleiro e 1 bandeja")</f>
      </c>
      <c r="C555" s="4" t="inlineStr">
        <is>
          <t>Vendido</t>
        </is>
      </c>
      <c r="D555" s="4" t="inlineStr">
        <is>
          <t>1</t>
        </is>
      </c>
      <c r="E555" s="5" t="inlineStr">
        <is>
          <t>450,00</t>
        </is>
      </c>
      <c r="F555" s="4" t="inlineStr">
        <is>
          <t>50.00</t>
        </is>
      </c>
    </row>
    <row collapsed="false" customFormat="false" customHeight="false" hidden="false" ht="12.1" outlineLevel="0" r="556">
      <c r="A556" s="5" t="s">
        <f>=HYPERLINK("https://rossileiloes.com.br/lote/detalhe/63068", "1017")</f>
      </c>
      <c r="B556" s="4" t="s">
        <f>=HYPERLINK("https://rossileiloes.com.br/lote/detalhe/63068", " adaga chinesa  lamina em aço, punho e bainha em material sintético patinado, decorada por Cabeça de Cavalo. 21 cm.")</f>
      </c>
      <c r="C556" s="4" t="inlineStr">
        <is>
          <t>Não vendido</t>
        </is>
      </c>
      <c r="D556" s="4" t="inlineStr">
        <is>
          <t>0</t>
        </is>
      </c>
      <c r="E556" s="5" t="inlineStr">
        <is>
          <t>200,00</t>
        </is>
      </c>
      <c r="F556" s="4" t="inlineStr">
        <is>
          <t>50.00</t>
        </is>
      </c>
    </row>
    <row collapsed="false" customFormat="false" customHeight="false" hidden="false" ht="12.1" outlineLevel="0" r="557">
      <c r="A557" s="5" t="s">
        <f>=HYPERLINK("https://rossileiloes.com.br/lote/detalhe/63067", "1018")</f>
      </c>
      <c r="B557" s="4" t="s">
        <f>=HYPERLINK("https://rossileiloes.com.br/lote/detalhe/63067", " estatua africana, pedra feita a mão, 13x18 cm. obs: com discretíssimo bicado na calda.")</f>
      </c>
      <c r="C557" s="4" t="inlineStr">
        <is>
          <t>Não vendido</t>
        </is>
      </c>
      <c r="D557" s="4" t="inlineStr">
        <is>
          <t>0</t>
        </is>
      </c>
      <c r="E557" s="5" t="inlineStr">
        <is>
          <t>200,00</t>
        </is>
      </c>
      <c r="F557" s="4" t="inlineStr">
        <is>
          <t>50.00</t>
        </is>
      </c>
    </row>
    <row collapsed="false" customFormat="false" customHeight="false" hidden="false" ht="12.1" outlineLevel="0" r="558">
      <c r="A558" s="5" t="s">
        <f>=HYPERLINK("https://rossileiloes.com.br/lote/detalhe/63069", "1019")</f>
      </c>
      <c r="B558" s="4" t="s">
        <f>=HYPERLINK("https://rossileiloes.com.br/lote/detalhe/63069", " Fruteira  EBERKOC, metal espessurado à prata,  28x15,5 cm (AxD).")</f>
      </c>
      <c r="C558" s="4" t="inlineStr">
        <is>
          <t>Vendido</t>
        </is>
      </c>
      <c r="D558" s="4" t="inlineStr">
        <is>
          <t>1</t>
        </is>
      </c>
      <c r="E558" s="5" t="inlineStr">
        <is>
          <t>150,00</t>
        </is>
      </c>
      <c r="F558" s="4" t="inlineStr">
        <is>
          <t>50.00</t>
        </is>
      </c>
    </row>
    <row collapsed="false" customFormat="false" customHeight="false" hidden="false" ht="12.1" outlineLevel="0" r="559">
      <c r="A559" s="5" t="s">
        <f>=HYPERLINK("https://rossileiloes.com.br/lote/detalhe/63070", "1020")</f>
      </c>
      <c r="B559" s="4" t="s">
        <f>=HYPERLINK("https://rossileiloes.com.br/lote/detalhe/63070", " vaso importado em porcelana oriental, no padrão SATSUMA com peanha de madeira. 37 cm de altura x 12 cm de diâmetro da borda")</f>
      </c>
      <c r="C559" s="4" t="inlineStr">
        <is>
          <t>Vendido</t>
        </is>
      </c>
      <c r="D559" s="4" t="inlineStr">
        <is>
          <t>1</t>
        </is>
      </c>
      <c r="E559" s="5" t="inlineStr">
        <is>
          <t>500,00</t>
        </is>
      </c>
      <c r="F559" s="4" t="inlineStr">
        <is>
          <t>50.00</t>
        </is>
      </c>
    </row>
    <row collapsed="false" customFormat="false" customHeight="false" hidden="false" ht="12.1" outlineLevel="0" r="560">
      <c r="A560" s="5" t="s">
        <f>=HYPERLINK("https://rossileiloes.com.br/lote/detalhe/63071", "1021")</f>
      </c>
      <c r="B560" s="4" t="s">
        <f>=HYPERLINK("https://rossileiloes.com.br/lote/detalhe/63071", " Tamancos de madeira holandês com entalhada à mão. 32cm")</f>
      </c>
      <c r="C560" s="4" t="inlineStr">
        <is>
          <t>Não vendido</t>
        </is>
      </c>
      <c r="D560" s="4" t="inlineStr">
        <is>
          <t>0</t>
        </is>
      </c>
      <c r="E560" s="5" t="inlineStr">
        <is>
          <t>300,00</t>
        </is>
      </c>
      <c r="F560" s="4" t="inlineStr">
        <is>
          <t>50.00</t>
        </is>
      </c>
    </row>
    <row collapsed="false" customFormat="false" customHeight="false" hidden="false" ht="12.1" outlineLevel="0" r="561">
      <c r="A561" s="5" t="s">
        <f>=HYPERLINK("https://rossileiloes.com.br/lote/detalhe/63072", "1022")</f>
      </c>
      <c r="B561" s="4" t="s">
        <f>=HYPERLINK("https://rossileiloes.com.br/lote/detalhe/63072", " Faqueiro Dourado importado Japonês 66 Pecas")</f>
      </c>
      <c r="C561" s="4" t="inlineStr">
        <is>
          <t>Vendido</t>
        </is>
      </c>
      <c r="D561" s="4" t="inlineStr">
        <is>
          <t>1</t>
        </is>
      </c>
      <c r="E561" s="5" t="inlineStr">
        <is>
          <t>400,00</t>
        </is>
      </c>
      <c r="F561" s="4" t="inlineStr">
        <is>
          <t>50.00</t>
        </is>
      </c>
    </row>
    <row collapsed="false" customFormat="false" customHeight="false" hidden="false" ht="12.1" outlineLevel="0" r="562">
      <c r="A562" s="5" t="s">
        <f>=HYPERLINK("https://rossileiloes.com.br/lote/detalhe/63073", "1023")</f>
      </c>
      <c r="B562" s="4" t="s">
        <f>=HYPERLINK("https://rossileiloes.com.br/lote/detalhe/63073", " 4 PORTA-OVOS EM METAL ESPESSURADO A PRATA.13,5 X 4 CM")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150,00</t>
        </is>
      </c>
      <c r="F562" s="4" t="inlineStr">
        <is>
          <t>50.00</t>
        </is>
      </c>
    </row>
    <row collapsed="false" customFormat="false" customHeight="false" hidden="false" ht="12.1" outlineLevel="0" r="563">
      <c r="A563" s="5" t="s">
        <f>=HYPERLINK("https://rossileiloes.com.br/lote/detalhe/63074", "1024")</f>
      </c>
      <c r="B563" s="4" t="s">
        <f>=HYPERLINK("https://rossileiloes.com.br/lote/detalhe/63074", " conjunto com 6 xícaras para café em porcelana nacional de coleção com realces dourados,  caixa original. década de 1950/60.  ")</f>
      </c>
      <c r="C563" s="4" t="inlineStr">
        <is>
          <t>Não vendido</t>
        </is>
      </c>
      <c r="D563" s="4" t="inlineStr">
        <is>
          <t>0</t>
        </is>
      </c>
      <c r="E563" s="5" t="inlineStr">
        <is>
          <t>250,00</t>
        </is>
      </c>
      <c r="F563" s="4" t="inlineStr">
        <is>
          <t>50.00</t>
        </is>
      </c>
    </row>
    <row collapsed="false" customFormat="false" customHeight="false" hidden="false" ht="12.1" outlineLevel="0" r="564">
      <c r="A564" s="5" t="s">
        <f>=HYPERLINK("https://rossileiloes.com.br/lote/detalhe/63075", "1025")</f>
      </c>
      <c r="B564" s="4" t="s">
        <f>=HYPERLINK("https://rossileiloes.com.br/lote/detalhe/63075", " carrinho de chá, madeira maciça, torneadas, prateleira,  duas gavetas Alt:80 cm; larg: 80 cm; prof: 41 cm")</f>
      </c>
      <c r="C564" s="4" t="inlineStr">
        <is>
          <t>Não vendido</t>
        </is>
      </c>
      <c r="D564" s="4" t="inlineStr">
        <is>
          <t>0</t>
        </is>
      </c>
      <c r="E564" s="5" t="inlineStr">
        <is>
          <t>900,00</t>
        </is>
      </c>
      <c r="F564" s="4" t="inlineStr">
        <is>
          <t>50.00</t>
        </is>
      </c>
    </row>
    <row collapsed="false" customFormat="false" customHeight="false" hidden="false" ht="12.1" outlineLevel="0" r="565">
      <c r="A565" s="5" t="s">
        <f>=HYPERLINK("https://rossileiloes.com.br/lote/detalhe/63076", "1026")</f>
      </c>
      <c r="B565" s="4" t="s">
        <f>=HYPERLINK("https://rossileiloes.com.br/lote/detalhe/63076", " Jarra/tankard em metal com cabo em chifre de javali e  figura mitológica. Medida: 25 cm x 24 cm")</f>
      </c>
      <c r="C565" s="4" t="inlineStr">
        <is>
          <t>Não vendido</t>
        </is>
      </c>
      <c r="D565" s="4" t="inlineStr">
        <is>
          <t>0</t>
        </is>
      </c>
      <c r="E565" s="5" t="inlineStr">
        <is>
          <t>300,00</t>
        </is>
      </c>
      <c r="F565" s="4" t="inlineStr">
        <is>
          <t>50.00</t>
        </is>
      </c>
    </row>
    <row collapsed="false" customFormat="false" customHeight="false" hidden="false" ht="12.1" outlineLevel="0" r="566">
      <c r="A566" s="5" t="s">
        <f>=HYPERLINK("https://rossileiloes.com.br/lote/detalhe/63077", "1027")</f>
      </c>
      <c r="B566" s="4" t="s">
        <f>=HYPERLINK("https://rossileiloes.com.br/lote/detalhe/63077", " fruteira , em madeira maciça Alt: 90 cm; diam: 34 cm")</f>
      </c>
      <c r="C566" s="4" t="inlineStr">
        <is>
          <t>Não vendido</t>
        </is>
      </c>
      <c r="D566" s="4" t="inlineStr">
        <is>
          <t>0</t>
        </is>
      </c>
      <c r="E566" s="5" t="inlineStr">
        <is>
          <t>900,00</t>
        </is>
      </c>
      <c r="F566" s="4" t="inlineStr">
        <is>
          <t>50.00</t>
        </is>
      </c>
    </row>
    <row collapsed="false" customFormat="false" customHeight="false" hidden="false" ht="12.1" outlineLevel="0" r="567">
      <c r="A567" s="5" t="s">
        <f>=HYPERLINK("https://rossileiloes.com.br/lote/detalhe/63078", "1028")</f>
      </c>
      <c r="B567" s="4" t="s">
        <f>=HYPERLINK("https://rossileiloes.com.br/lote/detalhe/63078", " Tabuleiro com banho de níquel, retangular, Medidas: 47 cm de comprimento 4,2 cm de largura da galeria central x 7,5 cm de altura ")</f>
      </c>
      <c r="C567" s="4" t="inlineStr">
        <is>
          <t>Não vendido</t>
        </is>
      </c>
      <c r="D567" s="4" t="inlineStr">
        <is>
          <t>0</t>
        </is>
      </c>
      <c r="E567" s="5" t="inlineStr">
        <is>
          <t>200,00</t>
        </is>
      </c>
      <c r="F567" s="4" t="inlineStr">
        <is>
          <t>50.00</t>
        </is>
      </c>
    </row>
    <row collapsed="false" customFormat="false" customHeight="false" hidden="false" ht="12.1" outlineLevel="0" r="568">
      <c r="A568" s="5" t="s">
        <f>=HYPERLINK("https://rossileiloes.com.br/lote/detalhe/63079", "1029")</f>
      </c>
      <c r="B568" s="4" t="s">
        <f>=HYPERLINK("https://rossileiloes.com.br/lote/detalhe/63079", " champanheira importada  em alumínio francês, marcada no fundo. Medidas: 20,5 cm de altura x 19,3 cm de diâmetro")</f>
      </c>
      <c r="C568" s="4" t="inlineStr">
        <is>
          <t>Vendido</t>
        </is>
      </c>
      <c r="D568" s="4" t="inlineStr">
        <is>
          <t>1</t>
        </is>
      </c>
      <c r="E568" s="5" t="inlineStr">
        <is>
          <t>200,00</t>
        </is>
      </c>
      <c r="F568" s="4" t="inlineStr">
        <is>
          <t>50.00</t>
        </is>
      </c>
    </row>
    <row collapsed="false" customFormat="false" customHeight="false" hidden="false" ht="12.1" outlineLevel="0" r="569">
      <c r="A569" s="5" t="s">
        <f>=HYPERLINK("https://rossileiloes.com.br/lote/detalhe/63082", "1030")</f>
      </c>
      <c r="B569" s="4" t="s">
        <f>=HYPERLINK("https://rossileiloes.com.br/lote/detalhe/63082", " balança de armazém em ferroc apacidade para 5kg, sem os pesos, acompanha dois pratos em bronze. Medidas: balança 20,5 cm de altura x 39,5 cm de largura / pratos 13,7 cm de diâmetro ")</f>
      </c>
      <c r="C569" s="4" t="inlineStr">
        <is>
          <t>Não vendido</t>
        </is>
      </c>
      <c r="D569" s="4" t="inlineStr">
        <is>
          <t>0</t>
        </is>
      </c>
      <c r="E569" s="5" t="inlineStr">
        <is>
          <t>300,00</t>
        </is>
      </c>
      <c r="F569" s="4" t="inlineStr">
        <is>
          <t>50.00</t>
        </is>
      </c>
    </row>
    <row collapsed="false" customFormat="false" customHeight="false" hidden="false" ht="12.1" outlineLevel="0" r="570">
      <c r="A570" s="5" t="s">
        <f>=HYPERLINK("https://rossileiloes.com.br/lote/detalhe/63081", "1031")</f>
      </c>
      <c r="B570" s="4" t="s">
        <f>=HYPERLINK("https://rossileiloes.com.br/lote/detalhe/63081", " 2 pequenos vasos floreira em bronze indiano, Medidas: maior 14,6 cm de altura x 5,3 cm de diâmetro da borda / menor 13,9 cm de altura x 5,4 cm de diâmetro da borda ")</f>
      </c>
      <c r="C570" s="4" t="inlineStr">
        <is>
          <t>Não vendido</t>
        </is>
      </c>
      <c r="D570" s="4" t="inlineStr">
        <is>
          <t>0</t>
        </is>
      </c>
      <c r="E570" s="5" t="inlineStr">
        <is>
          <t>150,00</t>
        </is>
      </c>
      <c r="F570" s="4" t="inlineStr">
        <is>
          <t>50.00</t>
        </is>
      </c>
    </row>
    <row collapsed="false" customFormat="false" customHeight="false" hidden="false" ht="12.1" outlineLevel="0" r="571">
      <c r="A571" s="5" t="s">
        <f>=HYPERLINK("https://rossileiloes.com.br/lote/detalhe/63080", "1032")</f>
      </c>
      <c r="B571" s="4" t="s">
        <f>=HYPERLINK("https://rossileiloes.com.br/lote/detalhe/63080", " legumeira em metal espessurado a prata, . Medidas: 13,5 cm de altura x 27,5 cm de comprimento")</f>
      </c>
      <c r="C571" s="4" t="inlineStr">
        <is>
          <t>Vendido</t>
        </is>
      </c>
      <c r="D571" s="4" t="inlineStr">
        <is>
          <t>1</t>
        </is>
      </c>
      <c r="E571" s="5" t="inlineStr">
        <is>
          <t>100,00</t>
        </is>
      </c>
      <c r="F571" s="4" t="inlineStr">
        <is>
          <t>50.00</t>
        </is>
      </c>
    </row>
    <row collapsed="false" customFormat="false" customHeight="false" hidden="false" ht="12.1" outlineLevel="0" r="572">
      <c r="A572" s="5" t="s">
        <f>=HYPERLINK("https://rossileiloes.com.br/lote/detalhe/63084", "1033")</f>
      </c>
      <c r="B572" s="4" t="s">
        <f>=HYPERLINK("https://rossileiloes.com.br/lote/detalhe/63084", " bule para chá de metal espessurado a prata  15,6 cm de altura x 20 cm de largura")</f>
      </c>
      <c r="C572" s="4" t="inlineStr">
        <is>
          <t>Vendido</t>
        </is>
      </c>
      <c r="D572" s="4" t="inlineStr">
        <is>
          <t>1</t>
        </is>
      </c>
      <c r="E572" s="5" t="inlineStr">
        <is>
          <t>100,00</t>
        </is>
      </c>
      <c r="F572" s="4" t="inlineStr">
        <is>
          <t>50.00</t>
        </is>
      </c>
    </row>
    <row collapsed="false" customFormat="false" customHeight="false" hidden="false" ht="12.1" outlineLevel="0" r="573">
      <c r="A573" s="5" t="s">
        <f>=HYPERLINK("https://rossileiloes.com.br/lote/detalhe/63083", "1034")</f>
      </c>
      <c r="B573" s="4" t="s">
        <f>=HYPERLINK("https://rossileiloes.com.br/lote/detalhe/63083", " bandeja  em metal espessurado a prata Medidas:62,5 cm de comprimento x 40 cm de largura. (banho novo)")</f>
      </c>
      <c r="C573" s="4" t="inlineStr">
        <is>
          <t>Não vendido</t>
        </is>
      </c>
      <c r="D573" s="4" t="inlineStr">
        <is>
          <t>0</t>
        </is>
      </c>
      <c r="E573" s="5" t="inlineStr">
        <is>
          <t>250,00</t>
        </is>
      </c>
      <c r="F573" s="4" t="inlineStr">
        <is>
          <t>50.00</t>
        </is>
      </c>
    </row>
    <row collapsed="false" customFormat="false" customHeight="false" hidden="false" ht="12.1" outlineLevel="0" r="574">
      <c r="A574" s="5" t="s">
        <f>=HYPERLINK("https://rossileiloes.com.br/lote/detalhe/63085", "1035")</f>
      </c>
      <c r="B574" s="4" t="s">
        <f>=HYPERLINK("https://rossileiloes.com.br/lote/detalhe/63085", " jogo de talheres, novo, em metal espessurado à prata, com 03 peças")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150,00</t>
        </is>
      </c>
      <c r="F574" s="4" t="inlineStr">
        <is>
          <t>50.00</t>
        </is>
      </c>
    </row>
    <row collapsed="false" customFormat="false" customHeight="false" hidden="false" ht="12.1" outlineLevel="0" r="575">
      <c r="A575" s="5" t="s">
        <f>=HYPERLINK("https://rossileiloes.com.br/lote/detalhe/63086", "1036")</f>
      </c>
      <c r="B575" s="4" t="s">
        <f>=HYPERLINK("https://rossileiloes.com.br/lote/detalhe/63086", " jogo de talheres em metal espessurado sem uso,")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150,00</t>
        </is>
      </c>
      <c r="F575" s="4" t="inlineStr">
        <is>
          <t>50.00</t>
        </is>
      </c>
    </row>
    <row collapsed="false" customFormat="false" customHeight="false" hidden="false" ht="12.1" outlineLevel="0" r="576">
      <c r="A576" s="5" t="s">
        <f>=HYPERLINK("https://rossileiloes.com.br/lote/detalhe/63088", "1037")</f>
      </c>
      <c r="B576" s="4" t="s">
        <f>=HYPERLINK("https://rossileiloes.com.br/lote/detalhe/63088", " Balança de precisão com caixa em madeira com pesos.  35cm x 17,5cm x 35cm de altura")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700,00</t>
        </is>
      </c>
      <c r="F576" s="4" t="inlineStr">
        <is>
          <t>50.00</t>
        </is>
      </c>
    </row>
    <row collapsed="false" customFormat="false" customHeight="false" hidden="false" ht="12.1" outlineLevel="0" r="577">
      <c r="A577" s="5" t="s">
        <f>=HYPERLINK("https://rossileiloes.com.br/lote/detalhe/63090", "1038")</f>
      </c>
      <c r="B577" s="4" t="s">
        <f>=HYPERLINK("https://rossileiloes.com.br/lote/detalhe/63090", " Tampas de garrafa de prata de lei 925, Peru e uma tampa redonda de metal prateado.")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250,00</t>
        </is>
      </c>
      <c r="F577" s="4" t="inlineStr">
        <is>
          <t>50.00</t>
        </is>
      </c>
    </row>
    <row collapsed="false" customFormat="false" customHeight="false" hidden="false" ht="12.1" outlineLevel="0" r="578">
      <c r="A578" s="5" t="s">
        <f>=HYPERLINK("https://rossileiloes.com.br/lote/detalhe/63089", "1039")</f>
      </c>
      <c r="B578" s="4" t="s">
        <f>=HYPERLINK("https://rossileiloes.com.br/lote/detalhe/63089", " jogo de chá e café em metal banhado a prata")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350,00</t>
        </is>
      </c>
      <c r="F578" s="4" t="inlineStr">
        <is>
          <t>50.00</t>
        </is>
      </c>
    </row>
    <row collapsed="false" customFormat="false" customHeight="false" hidden="false" ht="12.1" outlineLevel="0" r="579">
      <c r="A579" s="5" t="s">
        <f>=HYPERLINK("https://rossileiloes.com.br/lote/detalhe/63091", "1040")</f>
      </c>
      <c r="B579" s="4" t="s">
        <f>=HYPERLINK("https://rossileiloes.com.br/lote/detalhe/63091", " Conjunto  de Bebidas com Balde de gelo com apliques de metal e conjunto de  serviço em PRATA 90 com dosador, pinça e misturador . Marca :  BELINI")</f>
      </c>
      <c r="C579" s="4" t="inlineStr">
        <is>
          <t>Não vendido</t>
        </is>
      </c>
      <c r="D579" s="4" t="inlineStr">
        <is>
          <t>0</t>
        </is>
      </c>
      <c r="E579" s="5" t="inlineStr">
        <is>
          <t>300,00</t>
        </is>
      </c>
      <c r="F579" s="4" t="inlineStr">
        <is>
          <t>50.00</t>
        </is>
      </c>
    </row>
    <row collapsed="false" customFormat="false" customHeight="false" hidden="false" ht="12.1" outlineLevel="0" r="580">
      <c r="A580" s="5" t="s">
        <f>=HYPERLINK("https://rossileiloes.com.br/lote/detalhe/63087", "1041")</f>
      </c>
      <c r="B580" s="4" t="s">
        <f>=HYPERLINK("https://rossileiloes.com.br/lote/detalhe/63087", " jogo para sobremesa espessurada a prata e colheres de prata maciça ( Taças de 9  cm , Marca AEC , Bandeja 40x26 cm)")</f>
      </c>
      <c r="C580" s="4" t="inlineStr">
        <is>
          <t>Vendido</t>
        </is>
      </c>
      <c r="D580" s="4" t="inlineStr">
        <is>
          <t>1</t>
        </is>
      </c>
      <c r="E580" s="5" t="inlineStr">
        <is>
          <t>400,00</t>
        </is>
      </c>
      <c r="F580" s="4" t="inlineStr">
        <is>
          <t>50.00</t>
        </is>
      </c>
    </row>
    <row collapsed="false" customFormat="false" customHeight="false" hidden="false" ht="12.1" outlineLevel="0" r="581">
      <c r="A581" s="5" t="s">
        <f>=HYPERLINK("https://rossileiloes.com.br/lote/detalhe/63092", "1042")</f>
      </c>
      <c r="B581" s="4" t="s">
        <f>=HYPERLINK("https://rossileiloes.com.br/lote/detalhe/63092", " Lote com 6 estatuetas em bronze dourado com gatos e sapos")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150,00</t>
        </is>
      </c>
      <c r="F581" s="4" t="inlineStr">
        <is>
          <t>50.00</t>
        </is>
      </c>
    </row>
    <row collapsed="false" customFormat="false" customHeight="false" hidden="false" ht="12.1" outlineLevel="0" r="582">
      <c r="A582" s="5" t="s">
        <f>=HYPERLINK("https://rossileiloes.com.br/lote/detalhe/63093", "1043")</f>
      </c>
      <c r="B582" s="4" t="s">
        <f>=HYPERLINK("https://rossileiloes.com.br/lote/detalhe/63093", " CONCHA ESPESSURADA A PRATA . MEDE 23 CM")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100,00</t>
        </is>
      </c>
      <c r="F582" s="4" t="inlineStr">
        <is>
          <t>50.00</t>
        </is>
      </c>
    </row>
    <row collapsed="false" customFormat="false" customHeight="false" hidden="false" ht="12.1" outlineLevel="0" r="583">
      <c r="A583" s="5" t="s">
        <f>=HYPERLINK("https://rossileiloes.com.br/lote/detalhe/62957", "1044")</f>
      </c>
      <c r="B583" s="4" t="s">
        <f>=HYPERLINK("https://rossileiloes.com.br/lote/detalhe/62957", " chaleira em metal dourado alça em madeira,com 6 taças em metal martelado")</f>
      </c>
      <c r="C583" s="4" t="inlineStr">
        <is>
          <t>Vendido</t>
        </is>
      </c>
      <c r="D583" s="4" t="inlineStr">
        <is>
          <t>1</t>
        </is>
      </c>
      <c r="E583" s="5" t="inlineStr">
        <is>
          <t>250,00</t>
        </is>
      </c>
      <c r="F583" s="4" t="inlineStr">
        <is>
          <t>50.00</t>
        </is>
      </c>
    </row>
    <row collapsed="false" customFormat="false" customHeight="false" hidden="false" ht="12.1" outlineLevel="0" r="584">
      <c r="A584" s="5" t="s">
        <f>=HYPERLINK("https://rossileiloes.com.br/lote/detalhe/62958", "1045")</f>
      </c>
      <c r="B584" s="4" t="s">
        <f>=HYPERLINK("https://rossileiloes.com.br/lote/detalhe/62958", " Balança de precisão importada Sartorius Werke fabricado pela Gottingen por volta de 1930.")</f>
      </c>
      <c r="C584" s="4" t="inlineStr">
        <is>
          <t>Não vendido</t>
        </is>
      </c>
      <c r="D584" s="4" t="inlineStr">
        <is>
          <t>0</t>
        </is>
      </c>
      <c r="E584" s="5" t="inlineStr">
        <is>
          <t>1.300,00</t>
        </is>
      </c>
      <c r="F584" s="4" t="inlineStr">
        <is>
          <t>50.00</t>
        </is>
      </c>
    </row>
    <row collapsed="false" customFormat="false" customHeight="false" hidden="false" ht="12.1" outlineLevel="0" r="585">
      <c r="A585" s="5" t="s">
        <f>=HYPERLINK("https://rossileiloes.com.br/lote/detalhe/62961", "1046")</f>
      </c>
      <c r="B585" s="4" t="s">
        <f>=HYPERLINK("https://rossileiloes.com.br/lote/detalhe/62961", " faqueiro japonês banhado a ouro 24K completo para 12 pessoas  para jantar e sobremesa, constando 12 facas para jantar, 12 garfos para  jantar, 12 colheres para jantar, 12 garfos de sobremesa, 12 colheres  para sobremesa e 12 colheres para café")</f>
      </c>
      <c r="C585" s="4" t="inlineStr">
        <is>
          <t>Não vendido</t>
        </is>
      </c>
      <c r="D585" s="4" t="inlineStr">
        <is>
          <t>0</t>
        </is>
      </c>
      <c r="E585" s="5" t="inlineStr">
        <is>
          <t>950,00</t>
        </is>
      </c>
      <c r="F585" s="4" t="inlineStr">
        <is>
          <t>50.00</t>
        </is>
      </c>
    </row>
    <row collapsed="false" customFormat="false" customHeight="false" hidden="false" ht="12.1" outlineLevel="0" r="586">
      <c r="A586" s="5" t="s">
        <f>=HYPERLINK("https://rossileiloes.com.br/lote/detalhe/62959", "1047")</f>
      </c>
      <c r="B586" s="4" t="s">
        <f>=HYPERLINK("https://rossileiloes.com.br/lote/detalhe/62959", " Duas bíblias em otimo estado")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150,00</t>
        </is>
      </c>
      <c r="F586" s="4" t="inlineStr">
        <is>
          <t>50.00</t>
        </is>
      </c>
    </row>
    <row collapsed="false" customFormat="false" customHeight="false" hidden="false" ht="12.1" outlineLevel="0" r="587">
      <c r="A587" s="5" t="s">
        <f>=HYPERLINK("https://rossileiloes.com.br/lote/detalhe/62963", "1048")</f>
      </c>
      <c r="B587" s="4" t="s">
        <f>=HYPERLINK("https://rossileiloes.com.br/lote/detalhe/62963", " Livros raros e livro slides  antigos 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100,00</t>
        </is>
      </c>
      <c r="F587" s="4" t="inlineStr">
        <is>
          <t>50.00</t>
        </is>
      </c>
    </row>
    <row collapsed="false" customFormat="false" customHeight="false" hidden="false" ht="12.1" outlineLevel="0" r="588">
      <c r="A588" s="5" t="s">
        <f>=HYPERLINK("https://rossileiloes.com.br/lote/detalhe/62962", "1049")</f>
      </c>
      <c r="B588" s="4" t="s">
        <f>=HYPERLINK("https://rossileiloes.com.br/lote/detalhe/62962", " Conjunto com prato, copo e colher infantis, década de 40/50. em metal espessurado à prata, em estojo  original,")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150,00</t>
        </is>
      </c>
      <c r="F588" s="4" t="inlineStr">
        <is>
          <t>50.00</t>
        </is>
      </c>
    </row>
    <row collapsed="false" customFormat="false" customHeight="false" hidden="false" ht="12.1" outlineLevel="0" r="589">
      <c r="A589" s="5" t="s">
        <f>=HYPERLINK("https://rossileiloes.com.br/lote/detalhe/62964", "1050")</f>
      </c>
      <c r="B589" s="4" t="s">
        <f>=HYPERLINK("https://rossileiloes.com.br/lote/detalhe/62964", " ESCULTURA FEMININA   , EM PÓ DE MÁRMORE,  1,56M TOTAL. ESCULTURA 1,00M , BASE: 0,56CM")</f>
      </c>
      <c r="C589" s="4" t="inlineStr">
        <is>
          <t>Não vendido</t>
        </is>
      </c>
      <c r="D589" s="4" t="inlineStr">
        <is>
          <t>0</t>
        </is>
      </c>
      <c r="E589" s="5" t="inlineStr">
        <is>
          <t>2.500,00</t>
        </is>
      </c>
      <c r="F589" s="4" t="inlineStr">
        <is>
          <t>50.00</t>
        </is>
      </c>
    </row>
    <row collapsed="false" customFormat="false" customHeight="false" hidden="false" ht="12.1" outlineLevel="0" r="590">
      <c r="A590" s="5" t="s">
        <f>=HYPERLINK("https://rossileiloes.com.br/lote/detalhe/62960", "1051")</f>
      </c>
      <c r="B590" s="4" t="s">
        <f>=HYPERLINK("https://rossileiloes.com.br/lote/detalhe/62960", " RELÓGIO IMPORTADO CARL JAHRE ZEISS STIFTUNG. 16CM X 16CM")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250,00</t>
        </is>
      </c>
      <c r="F590" s="4" t="inlineStr">
        <is>
          <t>50.00</t>
        </is>
      </c>
    </row>
    <row collapsed="false" customFormat="false" customHeight="false" hidden="false" ht="12.1" outlineLevel="0" r="591">
      <c r="A591" s="5" t="s">
        <f>=HYPERLINK("https://rossileiloes.com.br/lote/detalhe/62996", "1052")</f>
      </c>
      <c r="B591" s="4" t="s">
        <f>=HYPERLINK("https://rossileiloes.com.br/lote/detalhe/62996", "  colher importada prata 90")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100,00</t>
        </is>
      </c>
      <c r="F591" s="4" t="inlineStr">
        <is>
          <t>50.00</t>
        </is>
      </c>
    </row>
    <row collapsed="false" customFormat="false" customHeight="false" hidden="false" ht="12.1" outlineLevel="0" r="592">
      <c r="A592" s="5" t="s">
        <f>=HYPERLINK("https://rossileiloes.com.br/lote/detalhe/62966", "1053")</f>
      </c>
      <c r="B592" s="4" t="s">
        <f>=HYPERLINK("https://rossileiloes.com.br/lote/detalhe/62966", " JOGO IMPORTADO JAPÃO EM   PORCELANA JAPONESA JH, TRABALHO EM ALTO RELEVO E  FILIGRANADO A OURO. CONTEM: 1 BALDE DE GELO, 1 LEITEIRA, 1 BULE PARA CAFÉ,  1 BULE PARA CHÁ, 1 AÇUCAREIRO, 1 PRATO PARA BOLO, 5 PRATOS PARA  SOBREMESA, 4 XÍCARAS DE CHÁ E SEUS RESPECTIVOS PIRES E 5 XÍCARAS DE CAFÉ 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1.200,00</t>
        </is>
      </c>
      <c r="F592" s="4" t="inlineStr">
        <is>
          <t>50.00</t>
        </is>
      </c>
    </row>
    <row collapsed="false" customFormat="false" customHeight="false" hidden="false" ht="12.1" outlineLevel="0" r="593">
      <c r="A593" s="5" t="s">
        <f>=HYPERLINK("https://rossileiloes.com.br/lote/detalhe/62968", "1054")</f>
      </c>
      <c r="B593" s="4" t="s">
        <f>=HYPERLINK("https://rossileiloes.com.br/lote/detalhe/62968", "  PETISQUEIRA EM METAL ESPESSURADA A PRATA EBERLE. 8CM X 20CM")</f>
      </c>
      <c r="C593" s="4" t="inlineStr">
        <is>
          <t>Vendido</t>
        </is>
      </c>
      <c r="D593" s="4" t="inlineStr">
        <is>
          <t>1</t>
        </is>
      </c>
      <c r="E593" s="5" t="inlineStr">
        <is>
          <t>250,00</t>
        </is>
      </c>
      <c r="F593" s="4" t="inlineStr">
        <is>
          <t>50.00</t>
        </is>
      </c>
    </row>
    <row collapsed="false" customFormat="false" customHeight="false" hidden="false" ht="12.1" outlineLevel="0" r="594">
      <c r="A594" s="5" t="s">
        <f>=HYPERLINK("https://rossileiloes.com.br/lote/detalhe/62967", "1055")</f>
      </c>
      <c r="B594" s="4" t="s">
        <f>=HYPERLINK("https://rossileiloes.com.br/lote/detalhe/62967", " ESPELHO RETANGULAR COM  MOLDURA EM BRONZE 80CM X 1,70M")</f>
      </c>
      <c r="C594" s="4" t="inlineStr">
        <is>
          <t>Não vendido</t>
        </is>
      </c>
      <c r="D594" s="4" t="inlineStr">
        <is>
          <t>1</t>
        </is>
      </c>
      <c r="E594" s="5" t="inlineStr">
        <is>
          <t>1.300,00</t>
        </is>
      </c>
      <c r="F594" s="4" t="inlineStr">
        <is>
          <t>50.00</t>
        </is>
      </c>
    </row>
    <row collapsed="false" customFormat="false" customHeight="false" hidden="false" ht="12.1" outlineLevel="0" r="595">
      <c r="A595" s="5" t="s">
        <f>=HYPERLINK("https://rossileiloes.com.br/lote/detalhe/62998", "1056")</f>
      </c>
      <c r="B595" s="4" t="s">
        <f>=HYPERLINK("https://rossileiloes.com.br/lote/detalhe/62998", " BULE ESPESSURADO A PRATA  20 CM E ALTURA 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200,00</t>
        </is>
      </c>
      <c r="F595" s="4" t="inlineStr">
        <is>
          <t>50.00</t>
        </is>
      </c>
    </row>
    <row collapsed="false" customFormat="false" customHeight="false" hidden="false" ht="12.1" outlineLevel="0" r="596">
      <c r="A596" s="5" t="s">
        <f>=HYPERLINK("https://rossileiloes.com.br/lote/detalhe/62997", "1057")</f>
      </c>
      <c r="B596" s="4" t="s">
        <f>=HYPERLINK("https://rossileiloes.com.br/lote/detalhe/62997", " RELÓGIO DE MESA WESTCLOX DESPERTADOR ")</f>
      </c>
      <c r="C596" s="4" t="inlineStr">
        <is>
          <t>Não vendido</t>
        </is>
      </c>
      <c r="D596" s="4" t="inlineStr">
        <is>
          <t>0</t>
        </is>
      </c>
      <c r="E596" s="5" t="inlineStr">
        <is>
          <t>100,00</t>
        </is>
      </c>
      <c r="F596" s="4" t="inlineStr">
        <is>
          <t>50.00</t>
        </is>
      </c>
    </row>
    <row collapsed="false" customFormat="false" customHeight="false" hidden="false" ht="12.1" outlineLevel="0" r="597">
      <c r="A597" s="5" t="s">
        <f>=HYPERLINK("https://rossileiloes.com.br/lote/detalhe/62999", "1058")</f>
      </c>
      <c r="B597" s="4" t="s">
        <f>=HYPERLINK("https://rossileiloes.com.br/lote/detalhe/62999", " 5 taças para conhaque,  cristal Demi, com bordas em ouro 24K, altura 16 cm.")</f>
      </c>
      <c r="C597" s="4" t="inlineStr">
        <is>
          <t>Não vendido</t>
        </is>
      </c>
      <c r="D597" s="4" t="inlineStr">
        <is>
          <t>0</t>
        </is>
      </c>
      <c r="E597" s="5" t="inlineStr">
        <is>
          <t>200,00</t>
        </is>
      </c>
      <c r="F597" s="4" t="inlineStr">
        <is>
          <t>50.00</t>
        </is>
      </c>
    </row>
    <row collapsed="false" customFormat="false" customHeight="false" hidden="false" ht="12.1" outlineLevel="0" r="598">
      <c r="A598" s="5" t="s">
        <f>=HYPERLINK("https://rossileiloes.com.br/lote/detalhe/62965", "1059")</f>
      </c>
      <c r="B598" s="4" t="s">
        <f>=HYPERLINK("https://rossileiloes.com.br/lote/detalhe/62965", " Relógio Swatch Swiss importado suíço com horas de diversos países")</f>
      </c>
      <c r="C598" s="4" t="inlineStr">
        <is>
          <t>Não vendido</t>
        </is>
      </c>
      <c r="D598" s="4" t="inlineStr">
        <is>
          <t>0</t>
        </is>
      </c>
      <c r="E598" s="5" t="inlineStr">
        <is>
          <t>150,00</t>
        </is>
      </c>
      <c r="F598" s="4" t="inlineStr">
        <is>
          <t>50.00</t>
        </is>
      </c>
    </row>
    <row collapsed="false" customFormat="false" customHeight="false" hidden="false" ht="12.1" outlineLevel="0" r="599">
      <c r="A599" s="5" t="s">
        <f>=HYPERLINK("https://rossileiloes.com.br/lote/detalhe/62969", "1060")</f>
      </c>
      <c r="B599" s="4" t="s">
        <f>=HYPERLINK("https://rossileiloes.com.br/lote/detalhe/62969", " 5 taças para conhaque,  cristal Demi, com bordas em ouro 24K, altura 16 cm.")</f>
      </c>
      <c r="C599" s="4" t="inlineStr">
        <is>
          <t>Vendido</t>
        </is>
      </c>
      <c r="D599" s="4" t="inlineStr">
        <is>
          <t>4</t>
        </is>
      </c>
      <c r="E599" s="5" t="inlineStr">
        <is>
          <t>350,00</t>
        </is>
      </c>
      <c r="F599" s="4" t="inlineStr">
        <is>
          <t>50.00</t>
        </is>
      </c>
    </row>
    <row collapsed="false" customFormat="false" customHeight="false" hidden="false" ht="12.1" outlineLevel="0" r="600">
      <c r="A600" s="5" t="s">
        <f>=HYPERLINK("https://rossileiloes.com.br/lote/detalhe/62972", "1061")</f>
      </c>
      <c r="B600" s="4" t="s">
        <f>=HYPERLINK("https://rossileiloes.com.br/lote/detalhe/62972", " ESCULTURA EM PÓ DE MÁRMORE. 31CM ")</f>
      </c>
      <c r="C600" s="4" t="inlineStr">
        <is>
          <t>Não vendido</t>
        </is>
      </c>
      <c r="D600" s="4" t="inlineStr">
        <is>
          <t>0</t>
        </is>
      </c>
      <c r="E600" s="5" t="inlineStr">
        <is>
          <t>150,00</t>
        </is>
      </c>
      <c r="F600" s="4" t="inlineStr">
        <is>
          <t>50.00</t>
        </is>
      </c>
    </row>
    <row collapsed="false" customFormat="false" customHeight="false" hidden="false" ht="12.1" outlineLevel="0" r="601">
      <c r="A601" s="5" t="s">
        <f>=HYPERLINK("https://rossileiloes.com.br/lote/detalhe/62976", "1062")</f>
      </c>
      <c r="B601" s="4" t="s">
        <f>=HYPERLINK("https://rossileiloes.com.br/lote/detalhe/62976", " JOGO PARA SORVETE EM PRATA 90 ")</f>
      </c>
      <c r="C601" s="4" t="inlineStr">
        <is>
          <t>Não vendido</t>
        </is>
      </c>
      <c r="D601" s="4" t="inlineStr">
        <is>
          <t>0</t>
        </is>
      </c>
      <c r="E601" s="5" t="inlineStr">
        <is>
          <t>250,00</t>
        </is>
      </c>
      <c r="F601" s="4" t="inlineStr">
        <is>
          <t>50.00</t>
        </is>
      </c>
    </row>
    <row collapsed="false" customFormat="false" customHeight="false" hidden="false" ht="12.1" outlineLevel="0" r="602">
      <c r="A602" s="5" t="s">
        <f>=HYPERLINK("https://rossileiloes.com.br/lote/detalhe/62979", "1063")</f>
      </c>
      <c r="B602" s="4" t="s">
        <f>=HYPERLINK("https://rossileiloes.com.br/lote/detalhe/62979", " Antigo bule século XX. indiano  importado, em bronze, altura 22 cm,")</f>
      </c>
      <c r="C602" s="4" t="inlineStr">
        <is>
          <t>Não vendido</t>
        </is>
      </c>
      <c r="D602" s="4" t="inlineStr">
        <is>
          <t>0</t>
        </is>
      </c>
      <c r="E602" s="5" t="inlineStr">
        <is>
          <t>150,00</t>
        </is>
      </c>
      <c r="F602" s="4" t="inlineStr">
        <is>
          <t>50.00</t>
        </is>
      </c>
    </row>
    <row collapsed="false" customFormat="false" customHeight="false" hidden="false" ht="12.1" outlineLevel="0" r="603">
      <c r="A603" s="5" t="s">
        <f>=HYPERLINK("https://rossileiloes.com.br/lote/detalhe/62971", "1064")</f>
      </c>
      <c r="B603" s="4" t="s">
        <f>=HYPERLINK("https://rossileiloes.com.br/lote/detalhe/62971", " Jogo para sobremesa  em metal espessurado à prata,  em caixa original, sem uso")</f>
      </c>
      <c r="C603" s="4" t="inlineStr">
        <is>
          <t>Vendido</t>
        </is>
      </c>
      <c r="D603" s="4" t="inlineStr">
        <is>
          <t>1</t>
        </is>
      </c>
      <c r="E603" s="5" t="inlineStr">
        <is>
          <t>200,00</t>
        </is>
      </c>
      <c r="F603" s="4" t="inlineStr">
        <is>
          <t>50.00</t>
        </is>
      </c>
    </row>
    <row collapsed="false" customFormat="false" customHeight="false" hidden="false" ht="12.1" outlineLevel="0" r="604">
      <c r="A604" s="5" t="s">
        <f>=HYPERLINK("https://rossileiloes.com.br/lote/detalhe/63002", "1065")</f>
      </c>
      <c r="B604" s="4" t="s">
        <f>=HYPERLINK("https://rossileiloes.com.br/lote/detalhe/63002", " 5 taças para champagne, em cristal Demi Translúcido altura 17 cm")</f>
      </c>
      <c r="C604" s="4" t="inlineStr">
        <is>
          <t>Não vendido</t>
        </is>
      </c>
      <c r="D604" s="4" t="inlineStr">
        <is>
          <t>0</t>
        </is>
      </c>
      <c r="E604" s="5" t="inlineStr">
        <is>
          <t>200,00</t>
        </is>
      </c>
      <c r="F604" s="4" t="inlineStr">
        <is>
          <t>50.00</t>
        </is>
      </c>
    </row>
    <row collapsed="false" customFormat="false" customHeight="false" hidden="false" ht="12.1" outlineLevel="0" r="605">
      <c r="A605" s="5" t="s">
        <f>=HYPERLINK("https://rossileiloes.com.br/lote/detalhe/62977", "1066")</f>
      </c>
      <c r="B605" s="4" t="s">
        <f>=HYPERLINK("https://rossileiloes.com.br/lote/detalhe/62977", " PORTA GELO COM PEGADOR EM PRATA 90")</f>
      </c>
      <c r="C605" s="4" t="inlineStr">
        <is>
          <t>Vendido</t>
        </is>
      </c>
      <c r="D605" s="4" t="inlineStr">
        <is>
          <t>1</t>
        </is>
      </c>
      <c r="E605" s="5" t="inlineStr">
        <is>
          <t>100,00</t>
        </is>
      </c>
      <c r="F605" s="4" t="inlineStr">
        <is>
          <t>50.00</t>
        </is>
      </c>
    </row>
    <row collapsed="false" customFormat="false" customHeight="false" hidden="false" ht="12.1" outlineLevel="0" r="606">
      <c r="A606" s="5" t="s">
        <f>=HYPERLINK("https://rossileiloes.com.br/lote/detalhe/62974", "1067")</f>
      </c>
      <c r="B606" s="4" t="s">
        <f>=HYPERLINK("https://rossileiloes.com.br/lote/detalhe/62974", " Antiga bandeja produzida princípio do século XX. em metal prateado, medidas 51X23 cm,")</f>
      </c>
      <c r="C606" s="4" t="inlineStr">
        <is>
          <t>Não vendido</t>
        </is>
      </c>
      <c r="D606" s="4" t="inlineStr">
        <is>
          <t>0</t>
        </is>
      </c>
      <c r="E606" s="5" t="inlineStr">
        <is>
          <t>250,00</t>
        </is>
      </c>
      <c r="F606" s="4" t="inlineStr">
        <is>
          <t>50.00</t>
        </is>
      </c>
    </row>
    <row collapsed="false" customFormat="false" customHeight="false" hidden="false" ht="12.1" outlineLevel="0" r="607">
      <c r="A607" s="5" t="s">
        <f>=HYPERLINK("https://rossileiloes.com.br/lote/detalhe/63000", "1068")</f>
      </c>
      <c r="B607" s="4" t="s">
        <f>=HYPERLINK("https://rossileiloes.com.br/lote/detalhe/63000", " ESCULTURA FEMININA , EM PÓ DE MÁRMORE,   COM BASE . 1,52M TOTAL.  ESCULTURA: 76CM , BASE: 76CM ")</f>
      </c>
      <c r="C607" s="4" t="inlineStr">
        <is>
          <t>Não vendido</t>
        </is>
      </c>
      <c r="D607" s="4" t="inlineStr">
        <is>
          <t>0</t>
        </is>
      </c>
      <c r="E607" s="5" t="inlineStr">
        <is>
          <t>2.300,00</t>
        </is>
      </c>
      <c r="F607" s="4" t="inlineStr">
        <is>
          <t>50.00</t>
        </is>
      </c>
    </row>
    <row collapsed="false" customFormat="false" customHeight="false" hidden="false" ht="12.1" outlineLevel="0" r="608">
      <c r="A608" s="5" t="s">
        <f>=HYPERLINK("https://rossileiloes.com.br/lote/detalhe/62975", "1069")</f>
      </c>
      <c r="B608" s="4" t="s">
        <f>=HYPERLINK("https://rossileiloes.com.br/lote/detalhe/62975", " Jogo para sobremesa  em metal espessurado à prata,  em caixa original, sem uso.")</f>
      </c>
      <c r="C608" s="4" t="inlineStr">
        <is>
          <t>Vendido</t>
        </is>
      </c>
      <c r="D608" s="4" t="inlineStr">
        <is>
          <t>1</t>
        </is>
      </c>
      <c r="E608" s="5" t="inlineStr">
        <is>
          <t>200,00</t>
        </is>
      </c>
      <c r="F608" s="4" t="inlineStr">
        <is>
          <t>50.00</t>
        </is>
      </c>
    </row>
    <row collapsed="false" customFormat="false" customHeight="false" hidden="false" ht="12.1" outlineLevel="0" r="609">
      <c r="A609" s="5" t="s">
        <f>=HYPERLINK("https://rossileiloes.com.br/lote/detalhe/62973", "1070")</f>
      </c>
      <c r="B609" s="4" t="s">
        <f>=HYPERLINK("https://rossileiloes.com.br/lote/detalhe/62973", " porta guardanapos, produzido em bronze,peixe, maior comprimento 21,5 cm")</f>
      </c>
      <c r="C609" s="4" t="inlineStr">
        <is>
          <t>Não vendido</t>
        </is>
      </c>
      <c r="D609" s="4" t="inlineStr">
        <is>
          <t>0</t>
        </is>
      </c>
      <c r="E609" s="5" t="inlineStr">
        <is>
          <t>250,00</t>
        </is>
      </c>
      <c r="F609" s="4" t="inlineStr">
        <is>
          <t>50.00</t>
        </is>
      </c>
    </row>
    <row collapsed="false" customFormat="false" customHeight="false" hidden="false" ht="12.1" outlineLevel="0" r="610">
      <c r="A610" s="5" t="s">
        <f>=HYPERLINK("https://rossileiloes.com.br/lote/detalhe/62978", "1071")</f>
      </c>
      <c r="B610" s="4" t="s">
        <f>=HYPERLINK("https://rossileiloes.com.br/lote/detalhe/62978", " Conjunto com 6 taças para sobremesa, com colheres,  em metal espessurado à prata, em ótimo estado de conservação ")</f>
      </c>
      <c r="C610" s="4" t="inlineStr">
        <is>
          <t>Vendido</t>
        </is>
      </c>
      <c r="D610" s="4" t="inlineStr">
        <is>
          <t>1</t>
        </is>
      </c>
      <c r="E610" s="5" t="inlineStr">
        <is>
          <t>200,00</t>
        </is>
      </c>
      <c r="F610" s="4" t="inlineStr">
        <is>
          <t>50.00</t>
        </is>
      </c>
    </row>
    <row collapsed="false" customFormat="false" customHeight="false" hidden="false" ht="12.1" outlineLevel="0" r="611">
      <c r="A611" s="5" t="s">
        <f>=HYPERLINK("https://rossileiloes.com.br/lote/detalhe/62970", "1072")</f>
      </c>
      <c r="B611" s="4" t="s">
        <f>=HYPERLINK("https://rossileiloes.com.br/lote/detalhe/62970", " Coleção 70 ª Aniversário Da Segunda Guerra Mundial Completa com livros e dvds")</f>
      </c>
      <c r="C611" s="4" t="inlineStr">
        <is>
          <t>Não vendido</t>
        </is>
      </c>
      <c r="D611" s="4" t="inlineStr">
        <is>
          <t>0</t>
        </is>
      </c>
      <c r="E611" s="5" t="inlineStr">
        <is>
          <t>750,00</t>
        </is>
      </c>
      <c r="F611" s="4" t="inlineStr">
        <is>
          <t>50.00</t>
        </is>
      </c>
    </row>
    <row collapsed="false" customFormat="false" customHeight="false" hidden="false" ht="12.1" outlineLevel="0" r="612">
      <c r="A612" s="5" t="s">
        <f>=HYPERLINK("https://rossileiloes.com.br/lote/detalhe/63003", "1073")</f>
      </c>
      <c r="B612" s="4" t="s">
        <f>=HYPERLINK("https://rossileiloes.com.br/lote/detalhe/63003", " coleção rara gibis antigos Diversões Escolares com 21 gibis")</f>
      </c>
      <c r="C612" s="4" t="inlineStr">
        <is>
          <t>Não vendido</t>
        </is>
      </c>
      <c r="D612" s="4" t="inlineStr">
        <is>
          <t>0</t>
        </is>
      </c>
      <c r="E612" s="5" t="inlineStr">
        <is>
          <t>150,00</t>
        </is>
      </c>
      <c r="F612" s="4" t="inlineStr">
        <is>
          <t>50.00</t>
        </is>
      </c>
    </row>
    <row collapsed="false" customFormat="false" customHeight="false" hidden="false" ht="12.1" outlineLevel="0" r="613">
      <c r="A613" s="5" t="s">
        <f>=HYPERLINK("https://rossileiloes.com.br/lote/detalhe/63001", "1074")</f>
      </c>
      <c r="B613" s="4" t="s">
        <f>=HYPERLINK("https://rossileiloes.com.br/lote/detalhe/63001", " Lote com 11 formas para sabonetes em bronze")</f>
      </c>
      <c r="C613" s="4" t="inlineStr">
        <is>
          <t>Não vendido</t>
        </is>
      </c>
      <c r="D613" s="4" t="inlineStr">
        <is>
          <t>0</t>
        </is>
      </c>
      <c r="E613" s="5" t="inlineStr">
        <is>
          <t>100,00</t>
        </is>
      </c>
      <c r="F613" s="4" t="inlineStr">
        <is>
          <t>50.00</t>
        </is>
      </c>
    </row>
    <row collapsed="false" customFormat="false" customHeight="false" hidden="false" ht="12.1" outlineLevel="0" r="614">
      <c r="A614" s="5" t="s">
        <f>=HYPERLINK("https://rossileiloes.com.br/lote/detalhe/63010", "1075")</f>
      </c>
      <c r="B614" s="4" t="s">
        <f>=HYPERLINK("https://rossileiloes.com.br/lote/detalhe/63010", " Lote com duas máquinas de escrever elétrica")</f>
      </c>
      <c r="C614" s="4" t="inlineStr">
        <is>
          <t>Não vendido</t>
        </is>
      </c>
      <c r="D614" s="4" t="inlineStr">
        <is>
          <t>0</t>
        </is>
      </c>
      <c r="E614" s="5" t="inlineStr">
        <is>
          <t>100,00</t>
        </is>
      </c>
      <c r="F614" s="4" t="inlineStr">
        <is>
          <t>50.00</t>
        </is>
      </c>
    </row>
    <row collapsed="false" customFormat="false" customHeight="false" hidden="false" ht="12.1" outlineLevel="0" r="615">
      <c r="A615" s="5" t="s">
        <f>=HYPERLINK("https://rossileiloes.com.br/lote/detalhe/62981", "1076")</f>
      </c>
      <c r="B615" s="4" t="s">
        <f>=HYPERLINK("https://rossileiloes.com.br/lote/detalhe/62981", " Puxadores de porta antigos")</f>
      </c>
      <c r="C615" s="4" t="inlineStr">
        <is>
          <t>Não vendido</t>
        </is>
      </c>
      <c r="D615" s="4" t="inlineStr">
        <is>
          <t>0</t>
        </is>
      </c>
      <c r="E615" s="5" t="inlineStr">
        <is>
          <t>50,00</t>
        </is>
      </c>
      <c r="F615" s="4" t="inlineStr">
        <is>
          <t>50.00</t>
        </is>
      </c>
    </row>
    <row collapsed="false" customFormat="false" customHeight="false" hidden="false" ht="12.1" outlineLevel="0" r="616">
      <c r="A616" s="5" t="s">
        <f>=HYPERLINK("https://rossileiloes.com.br/lote/detalhe/62980", "1077")</f>
      </c>
      <c r="B616" s="4" t="s">
        <f>=HYPERLINK("https://rossileiloes.com.br/lote/detalhe/62980", " Dois bules antigos 1 de alumínio e 1 esmaltado")</f>
      </c>
      <c r="C616" s="4" t="inlineStr">
        <is>
          <t>Não vendido</t>
        </is>
      </c>
      <c r="D616" s="4" t="inlineStr">
        <is>
          <t>0</t>
        </is>
      </c>
      <c r="E616" s="5" t="inlineStr">
        <is>
          <t>50,00</t>
        </is>
      </c>
      <c r="F616" s="4" t="inlineStr">
        <is>
          <t>50.00</t>
        </is>
      </c>
    </row>
    <row collapsed="false" customFormat="false" customHeight="false" hidden="false" ht="12.1" outlineLevel="0" r="617">
      <c r="A617" s="5" t="s">
        <f>=HYPERLINK("https://rossileiloes.com.br/lote/detalhe/62982", "1078")</f>
      </c>
      <c r="B617" s="4" t="s">
        <f>=HYPERLINK("https://rossileiloes.com.br/lote/detalhe/62982", " Duas bíblias ")</f>
      </c>
      <c r="C617" s="4" t="inlineStr">
        <is>
          <t>Não vendido</t>
        </is>
      </c>
      <c r="D617" s="4" t="inlineStr">
        <is>
          <t>0</t>
        </is>
      </c>
      <c r="E617" s="5" t="inlineStr">
        <is>
          <t>50,00</t>
        </is>
      </c>
      <c r="F617" s="4" t="inlineStr">
        <is>
          <t>50.00</t>
        </is>
      </c>
    </row>
    <row collapsed="false" customFormat="false" customHeight="false" hidden="false" ht="12.1" outlineLevel="0" r="618">
      <c r="A618" s="5" t="s">
        <f>=HYPERLINK("https://rossileiloes.com.br/lote/detalhe/62993", "1079")</f>
      </c>
      <c r="B618" s="4" t="s">
        <f>=HYPERLINK("https://rossileiloes.com.br/lote/detalhe/62993", " Lote com 124 lps")</f>
      </c>
      <c r="C618" s="4" t="inlineStr">
        <is>
          <t>Não vendido</t>
        </is>
      </c>
      <c r="D618" s="4" t="inlineStr">
        <is>
          <t>0</t>
        </is>
      </c>
      <c r="E618" s="5" t="inlineStr">
        <is>
          <t>100,00</t>
        </is>
      </c>
      <c r="F618" s="4" t="inlineStr">
        <is>
          <t>50.00</t>
        </is>
      </c>
    </row>
    <row collapsed="false" customFormat="false" customHeight="false" hidden="false" ht="12.1" outlineLevel="0" r="619">
      <c r="A619" s="5" t="s">
        <f>=HYPERLINK("https://rossileiloes.com.br/lote/detalhe/62992", "1080")</f>
      </c>
      <c r="B619" s="4" t="s">
        <f>=HYPERLINK("https://rossileiloes.com.br/lote/detalhe/62992", " Coleção com 4 pastas com papeis de carta antigos")</f>
      </c>
      <c r="C619" s="4" t="inlineStr">
        <is>
          <t>Não vendido</t>
        </is>
      </c>
      <c r="D619" s="4" t="inlineStr">
        <is>
          <t>0</t>
        </is>
      </c>
      <c r="E619" s="5" t="inlineStr">
        <is>
          <t>100,00</t>
        </is>
      </c>
      <c r="F619" s="4" t="inlineStr">
        <is>
          <t>50.00</t>
        </is>
      </c>
    </row>
    <row collapsed="false" customFormat="false" customHeight="false" hidden="false" ht="12.1" outlineLevel="0" r="620">
      <c r="A620" s="5" t="s">
        <f>=HYPERLINK("https://rossileiloes.com.br/lote/detalhe/62994", "1081")</f>
      </c>
      <c r="B620" s="4" t="s">
        <f>=HYPERLINK("https://rossileiloes.com.br/lote/detalhe/62994", " Lote com 33 canecas antigas de coleção")</f>
      </c>
      <c r="C620" s="4" t="inlineStr">
        <is>
          <t>Não vendido</t>
        </is>
      </c>
      <c r="D620" s="4" t="inlineStr">
        <is>
          <t>0</t>
        </is>
      </c>
      <c r="E620" s="5" t="inlineStr">
        <is>
          <t>100,00</t>
        </is>
      </c>
      <c r="F620" s="4" t="inlineStr">
        <is>
          <t>50.00</t>
        </is>
      </c>
    </row>
    <row collapsed="false" customFormat="false" customHeight="false" hidden="false" ht="12.1" outlineLevel="0" r="621">
      <c r="A621" s="5" t="s">
        <f>=HYPERLINK("https://rossileiloes.com.br/lote/detalhe/62995", "1082")</f>
      </c>
      <c r="B621" s="4" t="s">
        <f>=HYPERLINK("https://rossileiloes.com.br/lote/detalhe/62995", " tv antiga Hitachi ligando ")</f>
      </c>
      <c r="C621" s="4" t="inlineStr">
        <is>
          <t>Vendido</t>
        </is>
      </c>
      <c r="D621" s="4" t="inlineStr">
        <is>
          <t>1</t>
        </is>
      </c>
      <c r="E621" s="5" t="inlineStr">
        <is>
          <t>150,00</t>
        </is>
      </c>
      <c r="F621" s="4" t="inlineStr">
        <is>
          <t>50.00</t>
        </is>
      </c>
    </row>
    <row collapsed="false" customFormat="false" customHeight="false" hidden="false" ht="12.1" outlineLevel="0" r="622">
      <c r="A622" s="5" t="s">
        <f>=HYPERLINK("https://rossileiloes.com.br/lote/detalhe/63815", "1083")</f>
      </c>
      <c r="B622" s="4" t="s">
        <f>=HYPERLINK("https://rossileiloes.com.br/lote/detalhe/63815", " Coleção lote de  livros de biblioteca")</f>
      </c>
      <c r="C622" s="4" t="inlineStr">
        <is>
          <t>Não vendido</t>
        </is>
      </c>
      <c r="D622" s="4" t="inlineStr">
        <is>
          <t>0</t>
        </is>
      </c>
      <c r="E622" s="5" t="inlineStr">
        <is>
          <t>250,00</t>
        </is>
      </c>
      <c r="F622" s="4" t="inlineStr">
        <is>
          <t>50.00</t>
        </is>
      </c>
    </row>
    <row collapsed="false" customFormat="false" customHeight="false" hidden="false" ht="12.1" outlineLevel="0" r="623">
      <c r="A623" s="5" t="s">
        <f>=HYPERLINK("https://rossileiloes.com.br/lote/detalhe/63836", "1084")</f>
      </c>
      <c r="B623" s="4" t="s">
        <f>=HYPERLINK("https://rossileiloes.com.br/lote/detalhe/63836", " Bicicleta gt ")</f>
      </c>
      <c r="C623" s="4" t="inlineStr">
        <is>
          <t>Não vendido</t>
        </is>
      </c>
      <c r="D623" s="4" t="inlineStr">
        <is>
          <t>0</t>
        </is>
      </c>
      <c r="E623" s="5" t="inlineStr">
        <is>
          <t>400,00</t>
        </is>
      </c>
      <c r="F623" s="4" t="inlineStr">
        <is>
          <t>50.00</t>
        </is>
      </c>
    </row>
    <row collapsed="false" customFormat="false" customHeight="false" hidden="false" ht="12.1" outlineLevel="0" r="624">
      <c r="A624" s="5" t="s">
        <f>=HYPERLINK("https://rossileiloes.com.br/lote/detalhe/63835", "1085")</f>
      </c>
      <c r="B624" s="4" t="s">
        <f>=HYPERLINK("https://rossileiloes.com.br/lote/detalhe/63835", " Coleção lote de  livros de biblioteca")</f>
      </c>
      <c r="C624" s="4" t="inlineStr">
        <is>
          <t>Não vendido</t>
        </is>
      </c>
      <c r="D624" s="4" t="inlineStr">
        <is>
          <t>0</t>
        </is>
      </c>
      <c r="E624" s="5" t="inlineStr">
        <is>
          <t>250,00</t>
        </is>
      </c>
      <c r="F624" s="4" t="inlineStr">
        <is>
          <t>50.00</t>
        </is>
      </c>
    </row>
    <row collapsed="false" customFormat="false" customHeight="false" hidden="false" ht="12.1" outlineLevel="0" r="625">
      <c r="A625" s="5" t="s">
        <f>=HYPERLINK("https://rossileiloes.com.br/lote/detalhe/63833", "1086")</f>
      </c>
      <c r="B625" s="4" t="s">
        <f>=HYPERLINK("https://rossileiloes.com.br/lote/detalhe/63833", " Livro obras completas de Homero")</f>
      </c>
      <c r="C625" s="4" t="inlineStr">
        <is>
          <t>Não vendido</t>
        </is>
      </c>
      <c r="D625" s="4" t="inlineStr">
        <is>
          <t>0</t>
        </is>
      </c>
      <c r="E625" s="5" t="inlineStr">
        <is>
          <t>100,00</t>
        </is>
      </c>
      <c r="F625" s="4" t="inlineStr">
        <is>
          <t>50.00</t>
        </is>
      </c>
    </row>
    <row collapsed="false" customFormat="false" customHeight="false" hidden="false" ht="12.1" outlineLevel="0" r="626">
      <c r="A626" s="5" t="s">
        <f>=HYPERLINK("https://rossileiloes.com.br/lote/detalhe/63832", "1087")</f>
      </c>
      <c r="B626" s="4" t="s">
        <f>=HYPERLINK("https://rossileiloes.com.br/lote/detalhe/63832", " Coleção lote de  livros de biblioteca")</f>
      </c>
      <c r="C626" s="4" t="inlineStr">
        <is>
          <t>Não vendido</t>
        </is>
      </c>
      <c r="D626" s="4" t="inlineStr">
        <is>
          <t>0</t>
        </is>
      </c>
      <c r="E626" s="5" t="inlineStr">
        <is>
          <t>250,00</t>
        </is>
      </c>
      <c r="F626" s="4" t="inlineStr">
        <is>
          <t>50.00</t>
        </is>
      </c>
    </row>
    <row collapsed="false" customFormat="false" customHeight="false" hidden="false" ht="12.1" outlineLevel="0" r="627">
      <c r="A627" s="5" t="s">
        <f>=HYPERLINK("https://rossileiloes.com.br/lote/detalhe/63817", "1088")</f>
      </c>
      <c r="B627" s="4" t="s">
        <f>=HYPERLINK("https://rossileiloes.com.br/lote/detalhe/63817", " Coleção livros mundo da criança completa 16 volumes")</f>
      </c>
      <c r="C627" s="4" t="inlineStr">
        <is>
          <t>Não vendido</t>
        </is>
      </c>
      <c r="D627" s="4" t="inlineStr">
        <is>
          <t>0</t>
        </is>
      </c>
      <c r="E627" s="5" t="inlineStr">
        <is>
          <t>250,00</t>
        </is>
      </c>
      <c r="F627" s="4" t="inlineStr">
        <is>
          <t>50.00</t>
        </is>
      </c>
    </row>
    <row collapsed="false" customFormat="false" customHeight="false" hidden="false" ht="12.1" outlineLevel="0" r="628">
      <c r="A628" s="5" t="s">
        <f>=HYPERLINK("https://rossileiloes.com.br/lote/detalhe/63806", "1089")</f>
      </c>
      <c r="B628" s="4" t="s">
        <f>=HYPERLINK("https://rossileiloes.com.br/lote/detalhe/63806", " Coleção lote de  livros de biblioteca ")</f>
      </c>
      <c r="C628" s="4" t="inlineStr">
        <is>
          <t>Não vendido</t>
        </is>
      </c>
      <c r="D628" s="4" t="inlineStr">
        <is>
          <t>0</t>
        </is>
      </c>
      <c r="E628" s="5" t="inlineStr">
        <is>
          <t>250,00</t>
        </is>
      </c>
      <c r="F628" s="4" t="inlineStr">
        <is>
          <t>50.00</t>
        </is>
      </c>
    </row>
    <row collapsed="false" customFormat="false" customHeight="false" hidden="false" ht="12.1" outlineLevel="0" r="629">
      <c r="A629" s="5" t="s">
        <f>=HYPERLINK("https://rossileiloes.com.br/lote/detalhe/63830", "1090")</f>
      </c>
      <c r="B629" s="4" t="s">
        <f>=HYPERLINK("https://rossileiloes.com.br/lote/detalhe/63830", " livros 3 volumes historia do Brasil e  3 livros Juscelino Kubitschek  ")</f>
      </c>
      <c r="C629" s="4" t="inlineStr">
        <is>
          <t>Não vendido</t>
        </is>
      </c>
      <c r="D629" s="4" t="inlineStr">
        <is>
          <t>0</t>
        </is>
      </c>
      <c r="E629" s="5" t="inlineStr">
        <is>
          <t>200,00</t>
        </is>
      </c>
      <c r="F629" s="4" t="inlineStr">
        <is>
          <t>50.00</t>
        </is>
      </c>
    </row>
    <row collapsed="false" customFormat="false" customHeight="false" hidden="false" ht="12.1" outlineLevel="0" r="630">
      <c r="A630" s="5" t="s">
        <f>=HYPERLINK("https://rossileiloes.com.br/lote/detalhe/63821", "1091")</f>
      </c>
      <c r="B630" s="4" t="s">
        <f>=HYPERLINK("https://rossileiloes.com.br/lote/detalhe/63821", " Coleção lote de  livros de biblioteca ")</f>
      </c>
      <c r="C630" s="4" t="inlineStr">
        <is>
          <t>Não vendido</t>
        </is>
      </c>
      <c r="D630" s="4" t="inlineStr">
        <is>
          <t>0</t>
        </is>
      </c>
      <c r="E630" s="5" t="inlineStr">
        <is>
          <t>250,00</t>
        </is>
      </c>
      <c r="F630" s="4" t="inlineStr">
        <is>
          <t>50.00</t>
        </is>
      </c>
    </row>
    <row collapsed="false" customFormat="false" customHeight="false" hidden="false" ht="12.1" outlineLevel="0" r="631">
      <c r="A631" s="5" t="s">
        <f>=HYPERLINK("https://rossileiloes.com.br/lote/detalhe/63823", "1092")</f>
      </c>
      <c r="B631" s="4" t="s">
        <f>=HYPERLINK("https://rossileiloes.com.br/lote/detalhe/63823", " 3 bonecas antigas estrela")</f>
      </c>
      <c r="C631" s="4" t="inlineStr">
        <is>
          <t>Não vendido</t>
        </is>
      </c>
      <c r="D631" s="4" t="inlineStr">
        <is>
          <t>0</t>
        </is>
      </c>
      <c r="E631" s="5" t="inlineStr">
        <is>
          <t>150,00</t>
        </is>
      </c>
      <c r="F631" s="4" t="inlineStr">
        <is>
          <t>50.00</t>
        </is>
      </c>
    </row>
    <row collapsed="false" customFormat="false" customHeight="false" hidden="false" ht="12.1" outlineLevel="0" r="632">
      <c r="A632" s="5" t="s">
        <f>=HYPERLINK("https://rossileiloes.com.br/lote/detalhe/63831", "1093")</f>
      </c>
      <c r="B632" s="4" t="s">
        <f>=HYPERLINK("https://rossileiloes.com.br/lote/detalhe/63831", " Coleção lote de  livros de biblioteca ")</f>
      </c>
      <c r="C632" s="4" t="inlineStr">
        <is>
          <t>Não vendido</t>
        </is>
      </c>
      <c r="D632" s="4" t="inlineStr">
        <is>
          <t>0</t>
        </is>
      </c>
      <c r="E632" s="5" t="inlineStr">
        <is>
          <t>250,00</t>
        </is>
      </c>
      <c r="F632" s="4" t="inlineStr">
        <is>
          <t>50.00</t>
        </is>
      </c>
    </row>
    <row collapsed="false" customFormat="false" customHeight="false" hidden="false" ht="12.1" outlineLevel="0" r="633">
      <c r="A633" s="5" t="s">
        <f>=HYPERLINK("https://rossileiloes.com.br/lote/detalhe/63839", "1094")</f>
      </c>
      <c r="B633" s="4" t="s">
        <f>=HYPERLINK("https://rossileiloes.com.br/lote/detalhe/63839", " Lote com 5 bonecas antigas estrela ")</f>
      </c>
      <c r="C633" s="4" t="inlineStr">
        <is>
          <t>Não vendido</t>
        </is>
      </c>
      <c r="D633" s="4" t="inlineStr">
        <is>
          <t>0</t>
        </is>
      </c>
      <c r="E633" s="5" t="inlineStr">
        <is>
          <t>100,00</t>
        </is>
      </c>
      <c r="F633" s="4" t="inlineStr">
        <is>
          <t>50.00</t>
        </is>
      </c>
    </row>
    <row collapsed="false" customFormat="false" customHeight="false" hidden="false" ht="12.1" outlineLevel="0" r="634">
      <c r="A634" s="5" t="s">
        <f>=HYPERLINK("https://rossileiloes.com.br/lote/detalhe/63837", "1095")</f>
      </c>
      <c r="B634" s="4" t="s">
        <f>=HYPERLINK("https://rossileiloes.com.br/lote/detalhe/63837", " Coleção lote de  livros de biblioteca ")</f>
      </c>
      <c r="C634" s="4" t="inlineStr">
        <is>
          <t>Não vendido</t>
        </is>
      </c>
      <c r="D634" s="4" t="inlineStr">
        <is>
          <t>0</t>
        </is>
      </c>
      <c r="E634" s="5" t="inlineStr">
        <is>
          <t>250,00</t>
        </is>
      </c>
      <c r="F634" s="4" t="inlineStr">
        <is>
          <t>50.00</t>
        </is>
      </c>
    </row>
    <row collapsed="false" customFormat="false" customHeight="false" hidden="false" ht="12.1" outlineLevel="0" r="635">
      <c r="A635" s="5" t="s">
        <f>=HYPERLINK("https://rossileiloes.com.br/lote/detalhe/63841", "1096")</f>
      </c>
      <c r="B635" s="4" t="s">
        <f>=HYPERLINK("https://rossileiloes.com.br/lote/detalhe/63841", " bonecos antigos ")</f>
      </c>
      <c r="C635" s="4" t="inlineStr">
        <is>
          <t>Não vendido</t>
        </is>
      </c>
      <c r="D635" s="4" t="inlineStr">
        <is>
          <t>0</t>
        </is>
      </c>
      <c r="E635" s="5" t="inlineStr">
        <is>
          <t>100,00</t>
        </is>
      </c>
      <c r="F635" s="4" t="inlineStr">
        <is>
          <t>50.00</t>
        </is>
      </c>
    </row>
    <row collapsed="false" customFormat="false" customHeight="false" hidden="false" ht="12.1" outlineLevel="0" r="636">
      <c r="A636" s="5" t="s">
        <f>=HYPERLINK("https://rossileiloes.com.br/lote/detalhe/63840", "1097")</f>
      </c>
      <c r="B636" s="4" t="s">
        <f>=HYPERLINK("https://rossileiloes.com.br/lote/detalhe/63840", " Coleção lote de  livros de biblioteca ")</f>
      </c>
      <c r="C636" s="4" t="inlineStr">
        <is>
          <t>Não vendido</t>
        </is>
      </c>
      <c r="D636" s="4" t="inlineStr">
        <is>
          <t>0</t>
        </is>
      </c>
      <c r="E636" s="5" t="inlineStr">
        <is>
          <t>250,00</t>
        </is>
      </c>
      <c r="F636" s="4" t="inlineStr">
        <is>
          <t>50.00</t>
        </is>
      </c>
    </row>
    <row collapsed="false" customFormat="false" customHeight="false" hidden="false" ht="12.1" outlineLevel="0" r="637">
      <c r="A637" s="5" t="s">
        <f>=HYPERLINK("https://rossileiloes.com.br/lote/detalhe/63834", "1098")</f>
      </c>
      <c r="B637" s="4" t="s">
        <f>=HYPERLINK("https://rossileiloes.com.br/lote/detalhe/63834", " Boneca estrela antiga")</f>
      </c>
      <c r="C637" s="4" t="inlineStr">
        <is>
          <t>Não vendido</t>
        </is>
      </c>
      <c r="D637" s="4" t="inlineStr">
        <is>
          <t>0</t>
        </is>
      </c>
      <c r="E637" s="5" t="inlineStr">
        <is>
          <t>100,00</t>
        </is>
      </c>
      <c r="F637" s="4" t="inlineStr">
        <is>
          <t>50.00</t>
        </is>
      </c>
    </row>
    <row collapsed="false" customFormat="false" customHeight="false" hidden="false" ht="12.1" outlineLevel="0" r="638">
      <c r="A638" s="5" t="s">
        <f>=HYPERLINK("https://rossileiloes.com.br/lote/detalhe/63814", "1099")</f>
      </c>
      <c r="B638" s="4" t="s">
        <f>=HYPERLINK("https://rossileiloes.com.br/lote/detalhe/63814", " Coleção lote de  livros de biblioteca ")</f>
      </c>
      <c r="C638" s="4" t="inlineStr">
        <is>
          <t>Não vendido</t>
        </is>
      </c>
      <c r="D638" s="4" t="inlineStr">
        <is>
          <t>0</t>
        </is>
      </c>
      <c r="E638" s="5" t="inlineStr">
        <is>
          <t>250,00</t>
        </is>
      </c>
      <c r="F638" s="4" t="inlineStr">
        <is>
          <t>50.00</t>
        </is>
      </c>
    </row>
    <row collapsed="false" customFormat="false" customHeight="false" hidden="false" ht="12.1" outlineLevel="0" r="639">
      <c r="A639" s="5" t="s">
        <f>=HYPERLINK("https://rossileiloes.com.br/lote/detalhe/63812", "1100")</f>
      </c>
      <c r="B639" s="4" t="s">
        <f>=HYPERLINK("https://rossileiloes.com.br/lote/detalhe/63812", "  3 bonecas antigas estrela")</f>
      </c>
      <c r="C639" s="4" t="inlineStr">
        <is>
          <t>Não vendido</t>
        </is>
      </c>
      <c r="D639" s="4" t="inlineStr">
        <is>
          <t>0</t>
        </is>
      </c>
      <c r="E639" s="5" t="inlineStr">
        <is>
          <t>100,00</t>
        </is>
      </c>
      <c r="F639" s="4" t="inlineStr">
        <is>
          <t>50.00</t>
        </is>
      </c>
    </row>
    <row collapsed="false" customFormat="false" customHeight="false" hidden="false" ht="12.1" outlineLevel="0" r="640">
      <c r="A640" s="5" t="s">
        <f>=HYPERLINK("https://rossileiloes.com.br/lote/detalhe/63811", "1101")</f>
      </c>
      <c r="B640" s="4" t="s">
        <f>=HYPERLINK("https://rossileiloes.com.br/lote/detalhe/63811", " Coleção lote de  livros de biblioteca ")</f>
      </c>
      <c r="C640" s="4" t="inlineStr">
        <is>
          <t>Não vendido</t>
        </is>
      </c>
      <c r="D640" s="4" t="inlineStr">
        <is>
          <t>0</t>
        </is>
      </c>
      <c r="E640" s="5" t="inlineStr">
        <is>
          <t>250,00</t>
        </is>
      </c>
      <c r="F640" s="4" t="inlineStr">
        <is>
          <t>50.00</t>
        </is>
      </c>
    </row>
    <row collapsed="false" customFormat="false" customHeight="false" hidden="false" ht="12.1" outlineLevel="0" r="641">
      <c r="A641" s="5" t="s">
        <f>=HYPERLINK("https://rossileiloes.com.br/lote/detalhe/63805", "1102")</f>
      </c>
      <c r="B641" s="4" t="s">
        <f>=HYPERLINK("https://rossileiloes.com.br/lote/detalhe/63805", " Boneca estrela antiga")</f>
      </c>
      <c r="C641" s="4" t="inlineStr">
        <is>
          <t>Não vendido</t>
        </is>
      </c>
      <c r="D641" s="4" t="inlineStr">
        <is>
          <t>0</t>
        </is>
      </c>
      <c r="E641" s="5" t="inlineStr">
        <is>
          <t>100,00</t>
        </is>
      </c>
      <c r="F641" s="4" t="inlineStr">
        <is>
          <t>50.00</t>
        </is>
      </c>
    </row>
    <row collapsed="false" customFormat="false" customHeight="false" hidden="false" ht="12.1" outlineLevel="0" r="642">
      <c r="A642" s="5" t="s">
        <f>=HYPERLINK("https://rossileiloes.com.br/lote/detalhe/63807", "1103")</f>
      </c>
      <c r="B642" s="4" t="s">
        <f>=HYPERLINK("https://rossileiloes.com.br/lote/detalhe/63807", " Coleção livros mundo da criança completa 16 volumes")</f>
      </c>
      <c r="C642" s="4" t="inlineStr">
        <is>
          <t>Não vendido</t>
        </is>
      </c>
      <c r="D642" s="4" t="inlineStr">
        <is>
          <t>0</t>
        </is>
      </c>
      <c r="E642" s="5" t="inlineStr">
        <is>
          <t>250,00</t>
        </is>
      </c>
      <c r="F642" s="4" t="inlineStr">
        <is>
          <t>50.00</t>
        </is>
      </c>
    </row>
    <row collapsed="false" customFormat="false" customHeight="false" hidden="false" ht="12.1" outlineLevel="0" r="643">
      <c r="A643" s="5" t="s">
        <f>=HYPERLINK("https://rossileiloes.com.br/lote/detalhe/63808", "1104")</f>
      </c>
      <c r="B643" s="4" t="s">
        <f>=HYPERLINK("https://rossileiloes.com.br/lote/detalhe/63808", " Cristaleira de canto em madeira nobre, excelente estado, 1,85m de altura, 0,85m de largura e 0,50m de profundidade.(somente a cristaleira)")</f>
      </c>
      <c r="C643" s="4" t="inlineStr">
        <is>
          <t>Não vendido</t>
        </is>
      </c>
      <c r="D643" s="4" t="inlineStr">
        <is>
          <t>0</t>
        </is>
      </c>
      <c r="E643" s="5" t="inlineStr">
        <is>
          <t>900,00</t>
        </is>
      </c>
      <c r="F643" s="4" t="inlineStr">
        <is>
          <t>50.00</t>
        </is>
      </c>
    </row>
    <row collapsed="false" customFormat="false" customHeight="false" hidden="false" ht="12.1" outlineLevel="0" r="644">
      <c r="A644" s="5" t="s">
        <f>=HYPERLINK("https://rossileiloes.com.br/lote/detalhe/63804", "1105")</f>
      </c>
      <c r="B644" s="4" t="s">
        <f>=HYPERLINK("https://rossileiloes.com.br/lote/detalhe/63804", " Antiga maleta de viagem decada de 70,no estado que se encontra 25 cm de largura,6 cm de altura")</f>
      </c>
      <c r="C644" s="4" t="inlineStr">
        <is>
          <t>Não vendido</t>
        </is>
      </c>
      <c r="D644" s="4" t="inlineStr">
        <is>
          <t>0</t>
        </is>
      </c>
      <c r="E644" s="5" t="inlineStr">
        <is>
          <t>50,00</t>
        </is>
      </c>
      <c r="F644" s="4" t="inlineStr">
        <is>
          <t>50.00</t>
        </is>
      </c>
    </row>
    <row collapsed="false" customFormat="false" customHeight="false" hidden="false" ht="12.1" outlineLevel="0" r="645">
      <c r="A645" s="5" t="s">
        <f>=HYPERLINK("https://rossileiloes.com.br/lote/detalhe/63818", "1106")</f>
      </c>
      <c r="B645" s="4" t="s">
        <f>=HYPERLINK("https://rossileiloes.com.br/lote/detalhe/63818", " Antiga Boneca Beijoca Da Estrela")</f>
      </c>
      <c r="C645" s="4" t="inlineStr">
        <is>
          <t>Não vendido</t>
        </is>
      </c>
      <c r="D645" s="4" t="inlineStr">
        <is>
          <t>0</t>
        </is>
      </c>
      <c r="E645" s="5" t="inlineStr">
        <is>
          <t>150,00</t>
        </is>
      </c>
      <c r="F645" s="4" t="inlineStr">
        <is>
          <t>50.00</t>
        </is>
      </c>
    </row>
    <row collapsed="false" customFormat="false" customHeight="false" hidden="false" ht="12.1" outlineLevel="0" r="646">
      <c r="A646" s="5" t="s">
        <f>=HYPERLINK("https://rossileiloes.com.br/lote/detalhe/63816", "1107")</f>
      </c>
      <c r="B646" s="4" t="s">
        <f>=HYPERLINK("https://rossileiloes.com.br/lote/detalhe/63816", " Gerador De Caracteres Jvc Cg-v60u ")</f>
      </c>
      <c r="C646" s="4" t="inlineStr">
        <is>
          <t>Não vendido</t>
        </is>
      </c>
      <c r="D646" s="4" t="inlineStr">
        <is>
          <t>0</t>
        </is>
      </c>
      <c r="E646" s="5" t="inlineStr">
        <is>
          <t>100,00</t>
        </is>
      </c>
      <c r="F646" s="4" t="inlineStr">
        <is>
          <t>50.00</t>
        </is>
      </c>
    </row>
    <row collapsed="false" customFormat="false" customHeight="false" hidden="false" ht="12.1" outlineLevel="0" r="647">
      <c r="A647" s="5" t="s">
        <f>=HYPERLINK("https://rossileiloes.com.br/lote/detalhe/63819", "1108")</f>
      </c>
      <c r="B647" s="4" t="s">
        <f>=HYPERLINK("https://rossileiloes.com.br/lote/detalhe/63819", " Boneca Mimadinha Da Estrela")</f>
      </c>
      <c r="C647" s="4" t="inlineStr">
        <is>
          <t>Não vendido</t>
        </is>
      </c>
      <c r="D647" s="4" t="inlineStr">
        <is>
          <t>0</t>
        </is>
      </c>
      <c r="E647" s="5" t="inlineStr">
        <is>
          <t>100,00</t>
        </is>
      </c>
      <c r="F647" s="4" t="inlineStr">
        <is>
          <t>50.00</t>
        </is>
      </c>
    </row>
    <row collapsed="false" customFormat="false" customHeight="false" hidden="false" ht="12.1" outlineLevel="0" r="648">
      <c r="A648" s="5" t="s">
        <f>=HYPERLINK("https://rossileiloes.com.br/lote/detalhe/63803", "1109")</f>
      </c>
      <c r="B648" s="4" t="s">
        <f>=HYPERLINK("https://rossileiloes.com.br/lote/detalhe/63803", " Boneca Bolinha De Sabão - Estrela")</f>
      </c>
      <c r="C648" s="4" t="inlineStr">
        <is>
          <t>Não vendido</t>
        </is>
      </c>
      <c r="D648" s="4" t="inlineStr">
        <is>
          <t>0</t>
        </is>
      </c>
      <c r="E648" s="5" t="inlineStr">
        <is>
          <t>100,00</t>
        </is>
      </c>
      <c r="F648" s="4" t="inlineStr">
        <is>
          <t>50.00</t>
        </is>
      </c>
    </row>
    <row collapsed="false" customFormat="false" customHeight="false" hidden="false" ht="12.1" outlineLevel="0" r="649">
      <c r="A649" s="5" t="s">
        <f>=HYPERLINK("https://rossileiloes.com.br/lote/detalhe/63809", "1110")</f>
      </c>
      <c r="B649" s="4" t="s">
        <f>=HYPERLINK("https://rossileiloes.com.br/lote/detalhe/63809", " Manual Proprietario Celta")</f>
      </c>
      <c r="C649" s="4" t="inlineStr">
        <is>
          <t>Vendido</t>
        </is>
      </c>
      <c r="D649" s="4" t="inlineStr">
        <is>
          <t>1</t>
        </is>
      </c>
      <c r="E649" s="5" t="inlineStr">
        <is>
          <t>50,00</t>
        </is>
      </c>
      <c r="F649" s="4" t="inlineStr">
        <is>
          <t>50.00</t>
        </is>
      </c>
    </row>
    <row collapsed="false" customFormat="false" customHeight="false" hidden="false" ht="12.1" outlineLevel="0" r="650">
      <c r="A650" s="5" t="s">
        <f>=HYPERLINK("https://rossileiloes.com.br/lote/detalhe/63810", "1111")</f>
      </c>
      <c r="B650" s="4" t="s">
        <f>=HYPERLINK("https://rossileiloes.com.br/lote/detalhe/63810", " Antigo brinquedo thundermax")</f>
      </c>
      <c r="C650" s="4" t="inlineStr">
        <is>
          <t>Não vendido</t>
        </is>
      </c>
      <c r="D650" s="4" t="inlineStr">
        <is>
          <t>0</t>
        </is>
      </c>
      <c r="E650" s="5" t="inlineStr">
        <is>
          <t>50,00</t>
        </is>
      </c>
      <c r="F650" s="4" t="inlineStr">
        <is>
          <t>50.00</t>
        </is>
      </c>
    </row>
    <row collapsed="false" customFormat="false" customHeight="false" hidden="false" ht="12.1" outlineLevel="0" r="651">
      <c r="A651" s="5" t="s">
        <f>=HYPERLINK("https://rossileiloes.com.br/lote/detalhe/63822", "1112")</f>
      </c>
      <c r="B651" s="4" t="s">
        <f>=HYPERLINK("https://rossileiloes.com.br/lote/detalhe/63822", " telefones antigos")</f>
      </c>
      <c r="C651" s="4" t="inlineStr">
        <is>
          <t>Não vendido</t>
        </is>
      </c>
      <c r="D651" s="4" t="inlineStr">
        <is>
          <t>0</t>
        </is>
      </c>
      <c r="E651" s="5" t="inlineStr">
        <is>
          <t>100,00</t>
        </is>
      </c>
      <c r="F651" s="4" t="inlineStr">
        <is>
          <t>50.00</t>
        </is>
      </c>
    </row>
    <row collapsed="false" customFormat="false" customHeight="false" hidden="false" ht="12.1" outlineLevel="0" r="652">
      <c r="A652" s="5" t="s">
        <f>=HYPERLINK("https://rossileiloes.com.br/lote/detalhe/63820", "1113")</f>
      </c>
      <c r="B652" s="4" t="s">
        <f>=HYPERLINK("https://rossileiloes.com.br/lote/detalhe/63820", " Boneca Mechinha Estrela")</f>
      </c>
      <c r="C652" s="4" t="inlineStr">
        <is>
          <t>Não vendido</t>
        </is>
      </c>
      <c r="D652" s="4" t="inlineStr">
        <is>
          <t>0</t>
        </is>
      </c>
      <c r="E652" s="5" t="inlineStr">
        <is>
          <t>50,00</t>
        </is>
      </c>
      <c r="F652" s="4" t="inlineStr">
        <is>
          <t>50.00</t>
        </is>
      </c>
    </row>
    <row collapsed="false" customFormat="false" customHeight="false" hidden="false" ht="12.1" outlineLevel="0" r="653">
      <c r="A653" s="5" t="s">
        <f>=HYPERLINK("https://rossileiloes.com.br/lote/detalhe/63813", "1114")</f>
      </c>
      <c r="B653" s="4" t="s">
        <f>=HYPERLINK("https://rossileiloes.com.br/lote/detalhe/63813", " Antiga Boneca Rockita Estrela")</f>
      </c>
      <c r="C653" s="4" t="inlineStr">
        <is>
          <t>Não vendido</t>
        </is>
      </c>
      <c r="D653" s="4" t="inlineStr">
        <is>
          <t>0</t>
        </is>
      </c>
      <c r="E653" s="5" t="inlineStr">
        <is>
          <t>50,00</t>
        </is>
      </c>
      <c r="F653" s="4" t="inlineStr">
        <is>
          <t>50.00</t>
        </is>
      </c>
    </row>
    <row collapsed="false" customFormat="false" customHeight="false" hidden="false" ht="12.1" outlineLevel="0" r="654">
      <c r="A654" s="5" t="s">
        <f>=HYPERLINK("https://rossileiloes.com.br/lote/detalhe/63838", "1115")</f>
      </c>
      <c r="B654" s="4" t="s">
        <f>=HYPERLINK("https://rossileiloes.com.br/lote/detalhe/63838", " Aquaplay Do Mickey estrela ")</f>
      </c>
      <c r="C654" s="4" t="inlineStr">
        <is>
          <t>Não vendido</t>
        </is>
      </c>
      <c r="D654" s="4" t="inlineStr">
        <is>
          <t>0</t>
        </is>
      </c>
      <c r="E654" s="5" t="inlineStr">
        <is>
          <t>100,00</t>
        </is>
      </c>
      <c r="F654" s="4" t="inlineStr">
        <is>
          <t>50.00</t>
        </is>
      </c>
    </row>
    <row collapsed="false" customFormat="false" customHeight="false" hidden="false" ht="12.1" outlineLevel="0" r="655">
      <c r="A655" s="5" t="s">
        <f>=HYPERLINK("https://rossileiloes.com.br/lote/detalhe/63848", "1116")</f>
      </c>
      <c r="B655" s="4" t="s">
        <f>=HYPERLINK("https://rossileiloes.com.br/lote/detalhe/63848", " Radios antigos")</f>
      </c>
      <c r="C655" s="4" t="inlineStr">
        <is>
          <t>Não vendido</t>
        </is>
      </c>
      <c r="D655" s="4" t="inlineStr">
        <is>
          <t>0</t>
        </is>
      </c>
      <c r="E655" s="5" t="inlineStr">
        <is>
          <t>100,00</t>
        </is>
      </c>
      <c r="F655" s="4" t="inlineStr">
        <is>
          <t>50.00</t>
        </is>
      </c>
    </row>
    <row collapsed="false" customFormat="false" customHeight="false" hidden="false" ht="12.1" outlineLevel="0" r="656">
      <c r="A656" s="5" t="s">
        <f>=HYPERLINK("https://rossileiloes.com.br/lote/detalhe/63849", "1117")</f>
      </c>
      <c r="B656" s="4" t="s">
        <f>=HYPERLINK("https://rossileiloes.com.br/lote/detalhe/63849", " Duas bonecas estrelas mãezinha e bolinha de sabão")</f>
      </c>
      <c r="C656" s="4" t="inlineStr">
        <is>
          <t>Não vendido</t>
        </is>
      </c>
      <c r="D656" s="4" t="inlineStr">
        <is>
          <t>0</t>
        </is>
      </c>
      <c r="E656" s="5" t="inlineStr">
        <is>
          <t>100,00</t>
        </is>
      </c>
      <c r="F656" s="4" t="inlineStr">
        <is>
          <t>50.00</t>
        </is>
      </c>
    </row>
    <row collapsed="false" customFormat="false" customHeight="false" hidden="false" ht="12.1" outlineLevel="0" r="657">
      <c r="A657" s="5" t="s">
        <f>=HYPERLINK("https://rossileiloes.com.br/lote/detalhe/63846", "1118")</f>
      </c>
      <c r="B657" s="4" t="s">
        <f>=HYPERLINK("https://rossileiloes.com.br/lote/detalhe/63846", " Duas bonecas antigas")</f>
      </c>
      <c r="C657" s="4" t="inlineStr">
        <is>
          <t>Não vendido</t>
        </is>
      </c>
      <c r="D657" s="4" t="inlineStr">
        <is>
          <t>0</t>
        </is>
      </c>
      <c r="E657" s="5" t="inlineStr">
        <is>
          <t>100,00</t>
        </is>
      </c>
      <c r="F657" s="4" t="inlineStr">
        <is>
          <t>50.00</t>
        </is>
      </c>
    </row>
    <row collapsed="false" customFormat="false" customHeight="false" hidden="false" ht="12.1" outlineLevel="0" r="658">
      <c r="A658" s="5" t="s">
        <f>=HYPERLINK("https://rossileiloes.com.br/lote/detalhe/63847", "1119")</f>
      </c>
      <c r="B658" s="4" t="s">
        <f>=HYPERLINK("https://rossileiloes.com.br/lote/detalhe/63847", " Duas bonecas antigas")</f>
      </c>
      <c r="C658" s="4" t="inlineStr">
        <is>
          <t>Não vendido</t>
        </is>
      </c>
      <c r="D658" s="4" t="inlineStr">
        <is>
          <t>0</t>
        </is>
      </c>
      <c r="E658" s="5" t="inlineStr">
        <is>
          <t>100,00</t>
        </is>
      </c>
      <c r="F658" s="4" t="inlineStr">
        <is>
          <t>50.00</t>
        </is>
      </c>
    </row>
    <row collapsed="false" customFormat="false" customHeight="false" hidden="false" ht="12.1" outlineLevel="0" r="659">
      <c r="A659" s="5" t="s">
        <f>=HYPERLINK("https://rossileiloes.com.br/lote/detalhe/63842", "1120")</f>
      </c>
      <c r="B659" s="4" t="s">
        <f>=HYPERLINK("https://rossileiloes.com.br/lote/detalhe/63842", " Bíblia sagrada e porta  bíblia")</f>
      </c>
      <c r="C659" s="4" t="inlineStr">
        <is>
          <t>Não vendido</t>
        </is>
      </c>
      <c r="D659" s="4" t="inlineStr">
        <is>
          <t>0</t>
        </is>
      </c>
      <c r="E659" s="5" t="inlineStr">
        <is>
          <t>100,00</t>
        </is>
      </c>
      <c r="F659" s="4" t="inlineStr">
        <is>
          <t>50.00</t>
        </is>
      </c>
    </row>
    <row collapsed="false" customFormat="false" customHeight="false" hidden="false" ht="12.1" outlineLevel="0" r="660">
      <c r="A660" s="5" t="s">
        <f>=HYPERLINK("https://rossileiloes.com.br/lote/detalhe/63843", "1121")</f>
      </c>
      <c r="B660" s="4" t="s">
        <f>=HYPERLINK("https://rossileiloes.com.br/lote/detalhe/63843", " Duas bonecas antigas")</f>
      </c>
      <c r="C660" s="4" t="inlineStr">
        <is>
          <t>Não vendido</t>
        </is>
      </c>
      <c r="D660" s="4" t="inlineStr">
        <is>
          <t>0</t>
        </is>
      </c>
      <c r="E660" s="5" t="inlineStr">
        <is>
          <t>100,00</t>
        </is>
      </c>
      <c r="F660" s="4" t="inlineStr">
        <is>
          <t>50.00</t>
        </is>
      </c>
    </row>
    <row collapsed="false" customFormat="false" customHeight="false" hidden="false" ht="12.1" outlineLevel="0" r="661">
      <c r="A661" s="5" t="s">
        <f>=HYPERLINK("https://rossileiloes.com.br/lote/detalhe/63844", "1122")</f>
      </c>
      <c r="B661" s="4" t="s">
        <f>=HYPERLINK("https://rossileiloes.com.br/lote/detalhe/63844", " Antiga Boneca Mãezinha Da Estrela")</f>
      </c>
      <c r="C661" s="4" t="inlineStr">
        <is>
          <t>Não vendido</t>
        </is>
      </c>
      <c r="D661" s="4" t="inlineStr">
        <is>
          <t>0</t>
        </is>
      </c>
      <c r="E661" s="5" t="inlineStr">
        <is>
          <t>150,00</t>
        </is>
      </c>
      <c r="F661" s="4" t="inlineStr">
        <is>
          <t>50.00</t>
        </is>
      </c>
    </row>
    <row collapsed="false" customFormat="false" customHeight="false" hidden="false" ht="12.1" outlineLevel="0" r="662">
      <c r="A662" s="5" t="s">
        <f>=HYPERLINK("https://rossileiloes.com.br/lote/detalhe/63845", "1123")</f>
      </c>
      <c r="B662" s="4" t="s">
        <f>=HYPERLINK("https://rossileiloes.com.br/lote/detalhe/63845", " Coleção Completa Curso De Desenho E Pintura - Globo")</f>
      </c>
      <c r="C662" s="4" t="inlineStr">
        <is>
          <t>Não vendido</t>
        </is>
      </c>
      <c r="D662" s="4" t="inlineStr">
        <is>
          <t>0</t>
        </is>
      </c>
      <c r="E662" s="5" t="inlineStr">
        <is>
          <t>100,00</t>
        </is>
      </c>
      <c r="F662" s="4" t="inlineStr">
        <is>
          <t>50.00</t>
        </is>
      </c>
    </row>
    <row collapsed="false" customFormat="false" customHeight="false" hidden="false" ht="12.1" outlineLevel="0" r="663">
      <c r="A663" s="5" t="s">
        <f>=HYPERLINK("https://rossileiloes.com.br/lote/detalhe/63854", "1124")</f>
      </c>
      <c r="B663" s="4" t="s">
        <f>=HYPERLINK("https://rossileiloes.com.br/lote/detalhe/63854", " Coleção Disney Saiba Como Funciona - 4 Volumes")</f>
      </c>
      <c r="C663" s="4" t="inlineStr">
        <is>
          <t>Não vendido</t>
        </is>
      </c>
      <c r="D663" s="4" t="inlineStr">
        <is>
          <t>0</t>
        </is>
      </c>
      <c r="E663" s="5" t="inlineStr">
        <is>
          <t>50,00</t>
        </is>
      </c>
      <c r="F663" s="4" t="inlineStr">
        <is>
          <t>50.00</t>
        </is>
      </c>
    </row>
    <row collapsed="false" customFormat="false" customHeight="false" hidden="false" ht="12.1" outlineLevel="0" r="664">
      <c r="A664" s="5" t="s">
        <f>=HYPERLINK("https://rossileiloes.com.br/lote/detalhe/63850", "1125")</f>
      </c>
      <c r="B664" s="4" t="s">
        <f>=HYPERLINK("https://rossileiloes.com.br/lote/detalhe/63850", " Antiga Boneca Mãezinha Da Estrela")</f>
      </c>
      <c r="C664" s="4" t="inlineStr">
        <is>
          <t>Não vendido</t>
        </is>
      </c>
      <c r="D664" s="4" t="inlineStr">
        <is>
          <t>0</t>
        </is>
      </c>
      <c r="E664" s="5" t="inlineStr">
        <is>
          <t>100,00</t>
        </is>
      </c>
      <c r="F664" s="4" t="inlineStr">
        <is>
          <t>50.00</t>
        </is>
      </c>
    </row>
    <row collapsed="false" customFormat="false" customHeight="false" hidden="false" ht="12.1" outlineLevel="0" r="665">
      <c r="A665" s="5" t="s">
        <f>=HYPERLINK("https://rossileiloes.com.br/lote/detalhe/63851", "1126")</f>
      </c>
      <c r="B665" s="4" t="s">
        <f>=HYPERLINK("https://rossileiloes.com.br/lote/detalhe/63851", " Lote bonecas antigas")</f>
      </c>
      <c r="C665" s="4" t="inlineStr">
        <is>
          <t>Não vendido</t>
        </is>
      </c>
      <c r="D665" s="4" t="inlineStr">
        <is>
          <t>0</t>
        </is>
      </c>
      <c r="E665" s="5" t="inlineStr">
        <is>
          <t>100,00</t>
        </is>
      </c>
      <c r="F665" s="4" t="inlineStr">
        <is>
          <t>50.00</t>
        </is>
      </c>
    </row>
    <row collapsed="false" customFormat="false" customHeight="false" hidden="false" ht="12.1" outlineLevel="0" r="666">
      <c r="A666" s="5" t="s">
        <f>=HYPERLINK("https://rossileiloes.com.br/lote/detalhe/63853", "1127")</f>
      </c>
      <c r="B666" s="4" t="s">
        <f>=HYPERLINK("https://rossileiloes.com.br/lote/detalhe/63853", " Videogame master system")</f>
      </c>
      <c r="C666" s="4" t="inlineStr">
        <is>
          <t>Vendido</t>
        </is>
      </c>
      <c r="D666" s="4" t="inlineStr">
        <is>
          <t>1</t>
        </is>
      </c>
      <c r="E666" s="5" t="inlineStr">
        <is>
          <t>100,00</t>
        </is>
      </c>
      <c r="F666" s="4" t="inlineStr">
        <is>
          <t>50.00</t>
        </is>
      </c>
    </row>
    <row collapsed="false" customFormat="false" customHeight="false" hidden="false" ht="12.1" outlineLevel="0" r="667">
      <c r="A667" s="5" t="s">
        <f>=HYPERLINK("https://rossileiloes.com.br/lote/detalhe/63855", "1128")</f>
      </c>
      <c r="B667" s="4" t="s">
        <f>=HYPERLINK("https://rossileiloes.com.br/lote/detalhe/63855", " Boneca Chupetinha Estrela")</f>
      </c>
      <c r="C667" s="4" t="inlineStr">
        <is>
          <t>Não vendido</t>
        </is>
      </c>
      <c r="D667" s="4" t="inlineStr">
        <is>
          <t>0</t>
        </is>
      </c>
      <c r="E667" s="5" t="inlineStr">
        <is>
          <t>100,00</t>
        </is>
      </c>
      <c r="F667" s="4" t="inlineStr">
        <is>
          <t>50.00</t>
        </is>
      </c>
    </row>
    <row collapsed="false" customFormat="false" customHeight="false" hidden="false" ht="12.1" outlineLevel="0" r="668">
      <c r="A668" s="5" t="s">
        <f>=HYPERLINK("https://rossileiloes.com.br/lote/detalhe/63852", "1129")</f>
      </c>
      <c r="B668" s="4" t="s">
        <f>=HYPERLINK("https://rossileiloes.com.br/lote/detalhe/63852", " Boneca look magia ")</f>
      </c>
      <c r="C668" s="4" t="inlineStr">
        <is>
          <t>Não vendido</t>
        </is>
      </c>
      <c r="D668" s="4" t="inlineStr">
        <is>
          <t>0</t>
        </is>
      </c>
      <c r="E668" s="5" t="inlineStr">
        <is>
          <t>50,00</t>
        </is>
      </c>
      <c r="F668" s="4" t="inlineStr">
        <is>
          <t>50.00</t>
        </is>
      </c>
    </row>
    <row collapsed="false" customFormat="false" customHeight="false" hidden="false" ht="12.1" outlineLevel="0" r="669">
      <c r="A669" s="5" t="s">
        <f>=HYPERLINK("https://rossileiloes.com.br/lote/detalhe/63859", "1130")</f>
      </c>
      <c r="B669" s="4" t="s">
        <f>=HYPERLINK("https://rossileiloes.com.br/lote/detalhe/63859", " Coleção  Atlas National Geographic")</f>
      </c>
      <c r="C669" s="4" t="inlineStr">
        <is>
          <t>Não vendido</t>
        </is>
      </c>
      <c r="D669" s="4" t="inlineStr">
        <is>
          <t>0</t>
        </is>
      </c>
      <c r="E669" s="5" t="inlineStr">
        <is>
          <t>150,00</t>
        </is>
      </c>
      <c r="F669" s="4" t="inlineStr">
        <is>
          <t>50.00</t>
        </is>
      </c>
    </row>
    <row collapsed="false" customFormat="false" customHeight="false" hidden="false" ht="12.1" outlineLevel="0" r="670">
      <c r="A670" s="5" t="s">
        <f>=HYPERLINK("https://rossileiloes.com.br/lote/detalhe/63858", "1132")</f>
      </c>
      <c r="B670" s="4" t="s">
        <f>=HYPERLINK("https://rossileiloes.com.br/lote/detalhe/63858", " Coleção Uma História Por Dia Disney")</f>
      </c>
      <c r="C670" s="4" t="inlineStr">
        <is>
          <t>Não vendido</t>
        </is>
      </c>
      <c r="D670" s="4" t="inlineStr">
        <is>
          <t>0</t>
        </is>
      </c>
      <c r="E670" s="5" t="inlineStr">
        <is>
          <t>200,00</t>
        </is>
      </c>
      <c r="F670" s="4" t="inlineStr">
        <is>
          <t>50.00</t>
        </is>
      </c>
    </row>
    <row collapsed="false" customFormat="false" customHeight="false" hidden="false" ht="12.1" outlineLevel="0" r="671">
      <c r="A671" s="5" t="s">
        <f>=HYPERLINK("https://rossileiloes.com.br/lote/detalhe/63856", "1133")</f>
      </c>
      <c r="B671" s="4" t="s">
        <f>=HYPERLINK("https://rossileiloes.com.br/lote/detalhe/63856", " Videogame  V.smile funcionando ")</f>
      </c>
      <c r="C671" s="4" t="inlineStr">
        <is>
          <t>Vendido</t>
        </is>
      </c>
      <c r="D671" s="4" t="inlineStr">
        <is>
          <t>5</t>
        </is>
      </c>
      <c r="E671" s="5" t="inlineStr">
        <is>
          <t>300,00</t>
        </is>
      </c>
      <c r="F671" s="4" t="inlineStr">
        <is>
          <t>50.00</t>
        </is>
      </c>
    </row>
    <row collapsed="false" customFormat="false" customHeight="false" hidden="false" ht="12.1" outlineLevel="0" r="672">
      <c r="A672" s="5" t="s">
        <f>=HYPERLINK("https://rossileiloes.com.br/lote/detalhe/63857", "1134")</f>
      </c>
      <c r="B672" s="4" t="s">
        <f>=HYPERLINK("https://rossileiloes.com.br/lote/detalhe/63857", " Coleção com 82 revistas Rollingstine")</f>
      </c>
      <c r="C672" s="4" t="inlineStr">
        <is>
          <t>Não vendido</t>
        </is>
      </c>
      <c r="D672" s="4" t="inlineStr">
        <is>
          <t>0</t>
        </is>
      </c>
      <c r="E672" s="5" t="inlineStr">
        <is>
          <t>100,00</t>
        </is>
      </c>
      <c r="F672" s="4" t="inlineStr">
        <is>
          <t>50.00</t>
        </is>
      </c>
    </row>
    <row collapsed="false" customFormat="false" customHeight="false" hidden="false" ht="12.1" outlineLevel="0" r="673">
      <c r="A673" s="5" t="s">
        <f>=HYPERLINK("https://rossileiloes.com.br/lote/detalhe/63860", "1135")</f>
      </c>
      <c r="B673" s="4" t="s">
        <f>=HYPERLINK("https://rossileiloes.com.br/lote/detalhe/63860", " Coleção Biblioteca De Ouro mais 22 Volumes História Universal, Carl Grimberg")</f>
      </c>
      <c r="C673" s="4" t="inlineStr">
        <is>
          <t>Não vendido</t>
        </is>
      </c>
      <c r="D673" s="4" t="inlineStr">
        <is>
          <t>0</t>
        </is>
      </c>
      <c r="E673" s="5" t="inlineStr">
        <is>
          <t>100,00</t>
        </is>
      </c>
      <c r="F673" s="4" t="inlineStr">
        <is>
          <t>50.00</t>
        </is>
      </c>
    </row>
    <row collapsed="false" customFormat="false" customHeight="false" hidden="false" ht="12.1" outlineLevel="0" r="674">
      <c r="A674" s="5" t="s">
        <f>=HYPERLINK("https://rossileiloes.com.br/lote/detalhe/63861", "1136")</f>
      </c>
      <c r="B674" s="4" t="s">
        <f>=HYPERLINK("https://rossileiloes.com.br/lote/detalhe/63861", " Curso de inglês Larousse e inglês hoje")</f>
      </c>
      <c r="C674" s="4" t="inlineStr">
        <is>
          <t>Não vendido</t>
        </is>
      </c>
      <c r="D674" s="4" t="inlineStr">
        <is>
          <t>0</t>
        </is>
      </c>
      <c r="E674" s="5" t="inlineStr">
        <is>
          <t>50,00</t>
        </is>
      </c>
      <c r="F674" s="4" t="inlineStr">
        <is>
          <t>50.00</t>
        </is>
      </c>
    </row>
    <row collapsed="false" customFormat="false" customHeight="false" hidden="false" ht="12.1" outlineLevel="0" r="675">
      <c r="A675" s="5" t="s">
        <f>=HYPERLINK("https://rossileiloes.com.br/lote/detalhe/63864", "1137")</f>
      </c>
      <c r="B675" s="4" t="s">
        <f>=HYPERLINK("https://rossileiloes.com.br/lote/detalhe/63864", " Biblioteca Do Escoteiro Mirim - Walt Disney - 20 Volumes")</f>
      </c>
      <c r="C675" s="4" t="inlineStr">
        <is>
          <t>Não vendido</t>
        </is>
      </c>
      <c r="D675" s="4" t="inlineStr">
        <is>
          <t>0</t>
        </is>
      </c>
      <c r="E675" s="5" t="inlineStr">
        <is>
          <t>200,00</t>
        </is>
      </c>
      <c r="F675" s="4" t="inlineStr">
        <is>
          <t>50.00</t>
        </is>
      </c>
    </row>
    <row collapsed="false" customFormat="false" customHeight="false" hidden="false" ht="12.1" outlineLevel="0" r="676">
      <c r="A676" s="5" t="s">
        <f>=HYPERLINK("https://rossileiloes.com.br/lote/detalhe/63862", "1138")</f>
      </c>
      <c r="B676" s="4" t="s">
        <f>=HYPERLINK("https://rossileiloes.com.br/lote/detalhe/63862", " Lote com 10 vídeos cassetes ")</f>
      </c>
      <c r="C676" s="4" t="inlineStr">
        <is>
          <t>Vendido</t>
        </is>
      </c>
      <c r="D676" s="4" t="inlineStr">
        <is>
          <t>1</t>
        </is>
      </c>
      <c r="E676" s="5" t="inlineStr">
        <is>
          <t>50,00</t>
        </is>
      </c>
      <c r="F676" s="4" t="inlineStr">
        <is>
          <t>50.00</t>
        </is>
      </c>
    </row>
    <row collapsed="false" customFormat="false" customHeight="false" hidden="false" ht="12.1" outlineLevel="0" r="677">
      <c r="A677" s="5" t="s">
        <f>=HYPERLINK("https://rossileiloes.com.br/lote/detalhe/63863", "1139")</f>
      </c>
      <c r="B677" s="4" t="s">
        <f>=HYPERLINK("https://rossileiloes.com.br/lote/detalhe/63863", " Dois bogobol Estrela")</f>
      </c>
      <c r="C677" s="4" t="inlineStr">
        <is>
          <t>Não vendido</t>
        </is>
      </c>
      <c r="D677" s="4" t="inlineStr">
        <is>
          <t>0</t>
        </is>
      </c>
      <c r="E677" s="5" t="inlineStr">
        <is>
          <t>100,00</t>
        </is>
      </c>
      <c r="F677" s="4" t="inlineStr">
        <is>
          <t>50.00</t>
        </is>
      </c>
    </row>
    <row collapsed="false" customFormat="false" customHeight="false" hidden="false" ht="12.1" outlineLevel="0" r="678">
      <c r="A678" s="5" t="s">
        <f>=HYPERLINK("https://rossileiloes.com.br/lote/detalhe/63865", "1140")</f>
      </c>
      <c r="B678" s="4" t="s">
        <f>=HYPERLINK("https://rossileiloes.com.br/lote/detalhe/63865", " Coleção de revistas quatro  rodas  de 1980 a 2016 total de 482 revistas.")</f>
      </c>
      <c r="C678" s="4" t="inlineStr">
        <is>
          <t>Não vendido</t>
        </is>
      </c>
      <c r="D678" s="4" t="inlineStr">
        <is>
          <t>0</t>
        </is>
      </c>
      <c r="E678" s="5" t="inlineStr">
        <is>
          <t>500,00</t>
        </is>
      </c>
      <c r="F678" s="4" t="inlineStr">
        <is>
          <t>50.00</t>
        </is>
      </c>
    </row>
    <row collapsed="false" customFormat="false" customHeight="false" hidden="false" ht="12.1" outlineLevel="0" r="679">
      <c r="A679" s="5" t="s">
        <f>=HYPERLINK("https://rossileiloes.com.br/lote/detalhe/63869", "1141")</f>
      </c>
      <c r="B679" s="4" t="s">
        <f>=HYPERLINK("https://rossileiloes.com.br/lote/detalhe/63869", " Coleção lote de  livros de biblioteca")</f>
      </c>
      <c r="C679" s="4" t="inlineStr">
        <is>
          <t>Não vendido</t>
        </is>
      </c>
      <c r="D679" s="4" t="inlineStr">
        <is>
          <t>0</t>
        </is>
      </c>
      <c r="E679" s="5" t="inlineStr">
        <is>
          <t>200,00</t>
        </is>
      </c>
      <c r="F679" s="4" t="inlineStr">
        <is>
          <t>50.00</t>
        </is>
      </c>
    </row>
    <row collapsed="false" customFormat="false" customHeight="false" hidden="false" ht="12.1" outlineLevel="0" r="680">
      <c r="A680" s="5" t="s">
        <f>=HYPERLINK("https://rossileiloes.com.br/lote/detalhe/63868", "1142")</f>
      </c>
      <c r="B680" s="4" t="s">
        <f>=HYPERLINK("https://rossileiloes.com.br/lote/detalhe/63868", " Coleção Enciclopédia Disney Abril completa")</f>
      </c>
      <c r="C680" s="4" t="inlineStr">
        <is>
          <t>Não vendido</t>
        </is>
      </c>
      <c r="D680" s="4" t="inlineStr">
        <is>
          <t>0</t>
        </is>
      </c>
      <c r="E680" s="5" t="inlineStr">
        <is>
          <t>100,00</t>
        </is>
      </c>
      <c r="F680" s="4" t="inlineStr">
        <is>
          <t>50.00</t>
        </is>
      </c>
    </row>
    <row collapsed="false" customFormat="false" customHeight="false" hidden="false" ht="12.1" outlineLevel="0" r="681">
      <c r="A681" s="5" t="s">
        <f>=HYPERLINK("https://rossileiloes.com.br/lote/detalhe/63866", "1143")</f>
      </c>
      <c r="B681" s="4" t="s">
        <f>=HYPERLINK("https://rossileiloes.com.br/lote/detalhe/63866", " Livro a arte da Prata no Brasil")</f>
      </c>
      <c r="C681" s="4" t="inlineStr">
        <is>
          <t>Não vendido</t>
        </is>
      </c>
      <c r="D681" s="4" t="inlineStr">
        <is>
          <t>0</t>
        </is>
      </c>
      <c r="E681" s="5" t="inlineStr">
        <is>
          <t>100,00</t>
        </is>
      </c>
      <c r="F681" s="4" t="inlineStr">
        <is>
          <t>50.00</t>
        </is>
      </c>
    </row>
    <row collapsed="false" customFormat="false" customHeight="false" hidden="false" ht="12.1" outlineLevel="0" r="682">
      <c r="A682" s="5" t="s">
        <f>=HYPERLINK("https://rossileiloes.com.br/lote/detalhe/63870", "1144")</f>
      </c>
      <c r="B682" s="4" t="s">
        <f>=HYPERLINK("https://rossileiloes.com.br/lote/detalhe/63870", " Coleção Sítio Do Picapau Amarelo Edição De Luxo")</f>
      </c>
      <c r="C682" s="4" t="inlineStr">
        <is>
          <t>Não vendido</t>
        </is>
      </c>
      <c r="D682" s="4" t="inlineStr">
        <is>
          <t>0</t>
        </is>
      </c>
      <c r="E682" s="5" t="inlineStr">
        <is>
          <t>150,00</t>
        </is>
      </c>
      <c r="F682" s="4" t="inlineStr">
        <is>
          <t>50.00</t>
        </is>
      </c>
    </row>
    <row collapsed="false" customFormat="false" customHeight="false" hidden="false" ht="12.1" outlineLevel="0" r="683">
      <c r="A683" s="5" t="s">
        <f>=HYPERLINK("https://rossileiloes.com.br/lote/detalhe/63872", "1145")</f>
      </c>
      <c r="B683" s="4" t="s">
        <f>=HYPERLINK("https://rossileiloes.com.br/lote/detalhe/63872", " Coleção Os Imortais Da Literatura Universal 34 volumes")</f>
      </c>
      <c r="C683" s="4" t="inlineStr">
        <is>
          <t>Não vendido</t>
        </is>
      </c>
      <c r="D683" s="4" t="inlineStr">
        <is>
          <t>0</t>
        </is>
      </c>
      <c r="E683" s="5" t="inlineStr">
        <is>
          <t>150,00</t>
        </is>
      </c>
      <c r="F683" s="4" t="inlineStr">
        <is>
          <t>50.00</t>
        </is>
      </c>
    </row>
    <row collapsed="false" customFormat="false" customHeight="false" hidden="false" ht="12.1" outlineLevel="0" r="684">
      <c r="A684" s="5" t="s">
        <f>=HYPERLINK("https://rossileiloes.com.br/lote/detalhe/63867", "1146")</f>
      </c>
      <c r="B684" s="4" t="s">
        <f>=HYPERLINK("https://rossileiloes.com.br/lote/detalhe/63867", " Lote com 10 vídeos cassete")</f>
      </c>
      <c r="C684" s="4" t="inlineStr">
        <is>
          <t>Não vendido</t>
        </is>
      </c>
      <c r="D684" s="4" t="inlineStr">
        <is>
          <t>0</t>
        </is>
      </c>
      <c r="E684" s="5" t="inlineStr">
        <is>
          <t>50,00</t>
        </is>
      </c>
      <c r="F684" s="4" t="inlineStr">
        <is>
          <t>50.00</t>
        </is>
      </c>
    </row>
    <row collapsed="false" customFormat="false" customHeight="false" hidden="false" ht="12.1" outlineLevel="0" r="685">
      <c r="A685" s="5" t="s">
        <f>=HYPERLINK("https://rossileiloes.com.br/lote/detalhe/63871", "1147")</f>
      </c>
      <c r="B685" s="4" t="s">
        <f>=HYPERLINK("https://rossileiloes.com.br/lote/detalhe/63871", " Autorama nelson Piquet série super curva ")</f>
      </c>
      <c r="C685" s="4" t="inlineStr">
        <is>
          <t>Não vendido</t>
        </is>
      </c>
      <c r="D685" s="4" t="inlineStr">
        <is>
          <t>0</t>
        </is>
      </c>
      <c r="E685" s="5" t="inlineStr">
        <is>
          <t>450,00</t>
        </is>
      </c>
      <c r="F685" s="4" t="inlineStr">
        <is>
          <t>50.00</t>
        </is>
      </c>
    </row>
    <row collapsed="false" customFormat="false" customHeight="false" hidden="false" ht="12.1" outlineLevel="0" r="686">
      <c r="A686" s="5" t="s">
        <f>=HYPERLINK("https://rossileiloes.com.br/lote/detalhe/63877", "1148")</f>
      </c>
      <c r="B686" s="4" t="s">
        <f>=HYPERLINK("https://rossileiloes.com.br/lote/detalhe/63877", " Coleção com 215 revistas eletrônicas antiga")</f>
      </c>
      <c r="C686" s="4" t="inlineStr">
        <is>
          <t>Não vendido</t>
        </is>
      </c>
      <c r="D686" s="4" t="inlineStr">
        <is>
          <t>0</t>
        </is>
      </c>
      <c r="E686" s="5" t="inlineStr">
        <is>
          <t>150,00</t>
        </is>
      </c>
      <c r="F686" s="4" t="inlineStr">
        <is>
          <t>50.00</t>
        </is>
      </c>
    </row>
    <row collapsed="false" customFormat="false" customHeight="false" hidden="false" ht="12.1" outlineLevel="0" r="687">
      <c r="A687" s="5" t="s">
        <f>=HYPERLINK("https://rossileiloes.com.br/lote/detalhe/63873", "1149")</f>
      </c>
      <c r="B687" s="4" t="s">
        <f>=HYPERLINK("https://rossileiloes.com.br/lote/detalhe/63873", " COLEÇÃO CELULARES ANTIGOS")</f>
      </c>
      <c r="C687" s="4" t="inlineStr">
        <is>
          <t>Não vendido</t>
        </is>
      </c>
      <c r="D687" s="4" t="inlineStr">
        <is>
          <t>0</t>
        </is>
      </c>
      <c r="E687" s="5" t="inlineStr">
        <is>
          <t>100,00</t>
        </is>
      </c>
      <c r="F687" s="4" t="inlineStr">
        <is>
          <t>50.00</t>
        </is>
      </c>
    </row>
    <row collapsed="false" customFormat="false" customHeight="false" hidden="false" ht="12.1" outlineLevel="0" r="688">
      <c r="A688" s="5" t="s">
        <f>=HYPERLINK("https://rossileiloes.com.br/lote/detalhe/63878", "1150")</f>
      </c>
      <c r="B688" s="4" t="s">
        <f>=HYPERLINK("https://rossileiloes.com.br/lote/detalhe/63878", " Brinquedo antigo cavalo da barbie")</f>
      </c>
      <c r="C688" s="4" t="inlineStr">
        <is>
          <t>Não vendido</t>
        </is>
      </c>
      <c r="D688" s="4" t="inlineStr">
        <is>
          <t>0</t>
        </is>
      </c>
      <c r="E688" s="5" t="inlineStr">
        <is>
          <t>50,00</t>
        </is>
      </c>
      <c r="F688" s="4" t="inlineStr">
        <is>
          <t>50.00</t>
        </is>
      </c>
    </row>
    <row collapsed="false" customFormat="false" customHeight="false" hidden="false" ht="12.1" outlineLevel="0" r="689">
      <c r="A689" s="5" t="s">
        <f>=HYPERLINK("https://rossileiloes.com.br/lote/detalhe/63889", "1151")</f>
      </c>
      <c r="B689" s="4" t="s">
        <f>=HYPERLINK("https://rossileiloes.com.br/lote/detalhe/63889", " Boneca estrela antiga mechinha")</f>
      </c>
      <c r="C689" s="4" t="inlineStr">
        <is>
          <t>Não vendido</t>
        </is>
      </c>
      <c r="D689" s="4" t="inlineStr">
        <is>
          <t>0</t>
        </is>
      </c>
      <c r="E689" s="5" t="inlineStr">
        <is>
          <t>50,00</t>
        </is>
      </c>
      <c r="F689" s="4" t="inlineStr">
        <is>
          <t>50.00</t>
        </is>
      </c>
    </row>
    <row collapsed="false" customFormat="false" customHeight="false" hidden="false" ht="12.1" outlineLevel="0" r="690">
      <c r="A690" s="5" t="s">
        <f>=HYPERLINK("https://rossileiloes.com.br/lote/detalhe/63890", "1152")</f>
      </c>
      <c r="B690" s="4" t="s">
        <f>=HYPERLINK("https://rossileiloes.com.br/lote/detalhe/63890", " Grandes Romances Históricos com 25 volumes mais biblioteca de ouro 19 volumes")</f>
      </c>
      <c r="C690" s="4" t="inlineStr">
        <is>
          <t>Não vendido</t>
        </is>
      </c>
      <c r="D690" s="4" t="inlineStr">
        <is>
          <t>0</t>
        </is>
      </c>
      <c r="E690" s="5" t="inlineStr">
        <is>
          <t>200,00</t>
        </is>
      </c>
      <c r="F690" s="4" t="inlineStr">
        <is>
          <t>50.00</t>
        </is>
      </c>
    </row>
    <row collapsed="false" customFormat="false" customHeight="false" hidden="false" ht="12.1" outlineLevel="0" r="691">
      <c r="A691" s="5" t="s">
        <f>=HYPERLINK("https://rossileiloes.com.br/lote/detalhe/63891", "1153")</f>
      </c>
      <c r="B691" s="4" t="s">
        <f>=HYPERLINK("https://rossileiloes.com.br/lote/detalhe/63891", " Antiga filmadora sem teste")</f>
      </c>
      <c r="C691" s="4" t="inlineStr">
        <is>
          <t>Não vendido</t>
        </is>
      </c>
      <c r="D691" s="4" t="inlineStr">
        <is>
          <t>0</t>
        </is>
      </c>
      <c r="E691" s="5" t="inlineStr">
        <is>
          <t>50,00</t>
        </is>
      </c>
      <c r="F691" s="4" t="inlineStr">
        <is>
          <t>50.00</t>
        </is>
      </c>
    </row>
    <row collapsed="false" customFormat="false" customHeight="false" hidden="false" ht="12.1" outlineLevel="0" r="692">
      <c r="A692" s="5" t="s">
        <f>=HYPERLINK("https://rossileiloes.com.br/lote/detalhe/63894", "1154")</f>
      </c>
      <c r="B692" s="4" t="s">
        <f>=HYPERLINK("https://rossileiloes.com.br/lote/detalhe/63894", " Lote com 100 livros infantis varios títulos")</f>
      </c>
      <c r="C692" s="4" t="inlineStr">
        <is>
          <t>Não vendido</t>
        </is>
      </c>
      <c r="D692" s="4" t="inlineStr">
        <is>
          <t>0</t>
        </is>
      </c>
      <c r="E692" s="5" t="inlineStr">
        <is>
          <t>100,00</t>
        </is>
      </c>
      <c r="F692" s="4" t="inlineStr">
        <is>
          <t>50.00</t>
        </is>
      </c>
    </row>
    <row collapsed="false" customFormat="false" customHeight="false" hidden="false" ht="12.1" outlineLevel="0" r="693">
      <c r="A693" s="5" t="s">
        <f>=HYPERLINK("https://rossileiloes.com.br/lote/detalhe/63893", "1155")</f>
      </c>
      <c r="B693" s="4" t="s">
        <f>=HYPERLINK("https://rossileiloes.com.br/lote/detalhe/63893", " Coleção com papeis de carta antigos")</f>
      </c>
      <c r="C693" s="4" t="inlineStr">
        <is>
          <t>Não vendido</t>
        </is>
      </c>
      <c r="D693" s="4" t="inlineStr">
        <is>
          <t>0</t>
        </is>
      </c>
      <c r="E693" s="5" t="inlineStr">
        <is>
          <t>100,00</t>
        </is>
      </c>
      <c r="F693" s="4" t="inlineStr">
        <is>
          <t>50.00</t>
        </is>
      </c>
    </row>
    <row collapsed="false" customFormat="false" customHeight="false" hidden="false" ht="12.1" outlineLevel="0" r="694">
      <c r="A694" s="5" t="s">
        <f>=HYPERLINK("https://rossileiloes.com.br/lote/detalhe/63895", "1156")</f>
      </c>
      <c r="B694" s="4" t="s">
        <f>=HYPERLINK("https://rossileiloes.com.br/lote/detalhe/63895", " Lote com 100 livros infantis varios títulos ")</f>
      </c>
      <c r="C694" s="4" t="inlineStr">
        <is>
          <t>Vendido</t>
        </is>
      </c>
      <c r="D694" s="4" t="inlineStr">
        <is>
          <t>1</t>
        </is>
      </c>
      <c r="E694" s="5" t="inlineStr">
        <is>
          <t>100,00</t>
        </is>
      </c>
      <c r="F694" s="4" t="inlineStr">
        <is>
          <t>50.00</t>
        </is>
      </c>
    </row>
    <row collapsed="false" customFormat="false" customHeight="false" hidden="false" ht="12.1" outlineLevel="0" r="695">
      <c r="A695" s="5" t="s">
        <f>=HYPERLINK("https://rossileiloes.com.br/lote/detalhe/63904", "1157")</f>
      </c>
      <c r="B695" s="4" t="s">
        <f>=HYPERLINK("https://rossileiloes.com.br/lote/detalhe/63904", " Lote com pias novas sem uso 11 pias em inox,12 lavatórios completos sem uso,10 janelas")</f>
      </c>
      <c r="C695" s="4" t="inlineStr">
        <is>
          <t>Não vendido</t>
        </is>
      </c>
      <c r="D695" s="4" t="inlineStr">
        <is>
          <t>0</t>
        </is>
      </c>
      <c r="E695" s="5" t="inlineStr">
        <is>
          <t>600,00</t>
        </is>
      </c>
      <c r="F695" s="4" t="inlineStr">
        <is>
          <t>50.00</t>
        </is>
      </c>
    </row>
    <row collapsed="false" customFormat="false" customHeight="false" hidden="false" ht="12.1" outlineLevel="0" r="696">
      <c r="A696" s="5" t="s">
        <f>=HYPERLINK("https://rossileiloes.com.br/lote/detalhe/63905", "1158")</f>
      </c>
      <c r="B696" s="4" t="s">
        <f>=HYPERLINK("https://rossileiloes.com.br/lote/detalhe/63905", " Lotes fitas k7")</f>
      </c>
      <c r="C696" s="4" t="inlineStr">
        <is>
          <t>Não vendido</t>
        </is>
      </c>
      <c r="D696" s="4" t="inlineStr">
        <is>
          <t>0</t>
        </is>
      </c>
      <c r="E696" s="5" t="inlineStr">
        <is>
          <t>50,00</t>
        </is>
      </c>
      <c r="F696" s="4" t="inlineStr">
        <is>
          <t>50.00</t>
        </is>
      </c>
    </row>
    <row collapsed="false" customFormat="false" customHeight="false" hidden="false" ht="12.1" outlineLevel="0" r="697">
      <c r="A697" s="5" t="s">
        <f>=HYPERLINK("https://rossileiloes.com.br/lote/detalhe/63906", "1159")</f>
      </c>
      <c r="B697" s="4" t="s">
        <f>=HYPERLINK("https://rossileiloes.com.br/lote/detalhe/63906", " Lote com 100 livros infantis varios títulos")</f>
      </c>
      <c r="C697" s="4" t="inlineStr">
        <is>
          <t>Não vendido</t>
        </is>
      </c>
      <c r="D697" s="4" t="inlineStr">
        <is>
          <t>0</t>
        </is>
      </c>
      <c r="E697" s="5" t="inlineStr">
        <is>
          <t>100,00</t>
        </is>
      </c>
      <c r="F697" s="4" t="inlineStr">
        <is>
          <t>50.00</t>
        </is>
      </c>
    </row>
    <row collapsed="false" customFormat="false" customHeight="false" hidden="false" ht="12.1" outlineLevel="0" r="698">
      <c r="A698" s="5" t="s">
        <f>=HYPERLINK("https://rossileiloes.com.br/lote/detalhe/63907", "1160")</f>
      </c>
      <c r="B698" s="4" t="s">
        <f>=HYPERLINK("https://rossileiloes.com.br/lote/detalhe/63907", " Lote com 178 cédulas antigas")</f>
      </c>
      <c r="C698" s="4" t="inlineStr">
        <is>
          <t>Vendido</t>
        </is>
      </c>
      <c r="D698" s="4" t="inlineStr">
        <is>
          <t>1</t>
        </is>
      </c>
      <c r="E698" s="5" t="inlineStr">
        <is>
          <t>100,00</t>
        </is>
      </c>
      <c r="F698" s="4" t="inlineStr">
        <is>
          <t>50.00</t>
        </is>
      </c>
    </row>
    <row collapsed="false" customFormat="false" customHeight="false" hidden="false" ht="12.1" outlineLevel="0" r="699">
      <c r="A699" s="5" t="s">
        <f>=HYPERLINK("https://rossileiloes.com.br/lote/detalhe/63908", "1161")</f>
      </c>
      <c r="B699" s="4" t="s">
        <f>=HYPERLINK("https://rossileiloes.com.br/lote/detalhe/63908", " Lote com 140 moedas")</f>
      </c>
      <c r="C699" s="4" t="inlineStr">
        <is>
          <t>Vendido</t>
        </is>
      </c>
      <c r="D699" s="4" t="inlineStr">
        <is>
          <t>1</t>
        </is>
      </c>
      <c r="E699" s="5" t="inlineStr">
        <is>
          <t>100,00</t>
        </is>
      </c>
      <c r="F699" s="4" t="inlineStr">
        <is>
          <t>50.00</t>
        </is>
      </c>
    </row>
    <row collapsed="false" customFormat="false" customHeight="false" hidden="false" ht="12.1" outlineLevel="0" r="700">
      <c r="A700" s="5" t="s">
        <f>=HYPERLINK("https://rossileiloes.com.br/lote/detalhe/63910", "1162")</f>
      </c>
      <c r="B700" s="4" t="s">
        <f>=HYPERLINK("https://rossileiloes.com.br/lote/detalhe/63910", " MEDALHA DE OURO COMEMORAÇÃO de  1 MILHÃO DE FUSCAS FABRICADOS NO BRASIL - 1970 - SÃO BERNARDO DO CAMPO - DIÂMETRO 22 MM - PESANDO 7 GRAMAS - MATERIAL - OURO (900) - GRAVADOR -A.M")</f>
      </c>
      <c r="C700" s="4" t="inlineStr">
        <is>
          <t>Não vendido</t>
        </is>
      </c>
      <c r="D700" s="4" t="inlineStr">
        <is>
          <t>0</t>
        </is>
      </c>
      <c r="E700" s="5" t="inlineStr">
        <is>
          <t>3.200,00</t>
        </is>
      </c>
      <c r="F700" s="4" t="inlineStr">
        <is>
          <t>50.00</t>
        </is>
      </c>
    </row>
    <row collapsed="false" customFormat="false" customHeight="false" hidden="false" ht="12.1" outlineLevel="0" r="701">
      <c r="A701" s="5" t="s">
        <f>=HYPERLINK("https://rossileiloes.com.br/lote/detalhe/63909", "1163")</f>
      </c>
      <c r="B701" s="4" t="s">
        <f>=HYPERLINK("https://rossileiloes.com.br/lote/detalhe/63909", " Raros broches de ex funcionário  comemorativos volkswagen 10 e 15 anos ")</f>
      </c>
      <c r="C701" s="4" t="inlineStr">
        <is>
          <t>Não vendido</t>
        </is>
      </c>
      <c r="D701" s="4" t="inlineStr">
        <is>
          <t>0</t>
        </is>
      </c>
      <c r="E701" s="5" t="inlineStr">
        <is>
          <t>500,00</t>
        </is>
      </c>
      <c r="F701" s="4" t="inlineStr">
        <is>
          <t>50.00</t>
        </is>
      </c>
    </row>
    <row collapsed="false" customFormat="false" customHeight="false" hidden="false" ht="12.1" outlineLevel="0" r="702">
      <c r="A702" s="5" t="s">
        <f>=HYPERLINK("https://rossileiloes.com.br/lote/detalhe/63885", "1164")</f>
      </c>
      <c r="B702" s="4" t="s">
        <f>=HYPERLINK("https://rossileiloes.com.br/lote/detalhe/63885", " Lote com 100 livros infantis varios títulos")</f>
      </c>
      <c r="C702" s="4" t="inlineStr">
        <is>
          <t>Não vendido</t>
        </is>
      </c>
      <c r="D702" s="4" t="inlineStr">
        <is>
          <t>0</t>
        </is>
      </c>
      <c r="E702" s="5" t="inlineStr">
        <is>
          <t>100,00</t>
        </is>
      </c>
      <c r="F702" s="4" t="inlineStr">
        <is>
          <t>50.00</t>
        </is>
      </c>
    </row>
    <row collapsed="false" customFormat="false" customHeight="false" hidden="false" ht="12.1" outlineLevel="0" r="703">
      <c r="A703" s="5" t="s">
        <f>=HYPERLINK("https://rossileiloes.com.br/lote/detalhe/63888", "1165")</f>
      </c>
      <c r="B703" s="4" t="s">
        <f>=HYPERLINK("https://rossileiloes.com.br/lote/detalhe/63888", " Lote com 100 livros infantis varios títulos")</f>
      </c>
      <c r="C703" s="4" t="inlineStr">
        <is>
          <t>Não vendido</t>
        </is>
      </c>
      <c r="D703" s="4" t="inlineStr">
        <is>
          <t>0</t>
        </is>
      </c>
      <c r="E703" s="5" t="inlineStr">
        <is>
          <t>100,00</t>
        </is>
      </c>
      <c r="F703" s="4" t="inlineStr">
        <is>
          <t>50.00</t>
        </is>
      </c>
    </row>
    <row collapsed="false" customFormat="false" customHeight="false" hidden="false" ht="12.1" outlineLevel="0" r="704">
      <c r="A704" s="5" t="s">
        <f>=HYPERLINK("https://rossileiloes.com.br/lote/detalhe/63882", "1166")</f>
      </c>
      <c r="B704" s="4" t="s">
        <f>=HYPERLINK("https://rossileiloes.com.br/lote/detalhe/63882", " Lote com 100 livros infantis varios títulos")</f>
      </c>
      <c r="C704" s="4" t="inlineStr">
        <is>
          <t>Não vendido</t>
        </is>
      </c>
      <c r="D704" s="4" t="inlineStr">
        <is>
          <t>0</t>
        </is>
      </c>
      <c r="E704" s="5" t="inlineStr">
        <is>
          <t>100,00</t>
        </is>
      </c>
      <c r="F704" s="4" t="inlineStr">
        <is>
          <t>50.00</t>
        </is>
      </c>
    </row>
    <row collapsed="false" customFormat="false" customHeight="false" hidden="false" ht="12.1" outlineLevel="0" r="705">
      <c r="A705" s="5" t="s">
        <f>=HYPERLINK("https://rossileiloes.com.br/lote/detalhe/63884", "1167")</f>
      </c>
      <c r="B705" s="4" t="s">
        <f>=HYPERLINK("https://rossileiloes.com.br/lote/detalhe/63884", " Lote moedas com: 124 moedas 10 cruzeiros/ 197 moedas 5 cruzeiros/ 9 moedas 50 cruzeiros/ 31 moedas 20 cruzeiros/ 16 moedas cruzados/ 5 moedas  cruzados/ 7 moedas 1 centavos/ 6 moedas 2 centavos/ 2 moedas 10 cruzeiros,")</f>
      </c>
      <c r="C705" s="4" t="inlineStr">
        <is>
          <t>Não vendido</t>
        </is>
      </c>
      <c r="D705" s="4" t="inlineStr">
        <is>
          <t>0</t>
        </is>
      </c>
      <c r="E705" s="5" t="inlineStr">
        <is>
          <t>100,00</t>
        </is>
      </c>
      <c r="F705" s="4" t="inlineStr">
        <is>
          <t>50.00</t>
        </is>
      </c>
    </row>
    <row collapsed="false" customFormat="false" customHeight="false" hidden="false" ht="12.1" outlineLevel="0" r="706">
      <c r="A706" s="5" t="s">
        <f>=HYPERLINK("https://rossileiloes.com.br/lote/detalhe/63874", "1168")</f>
      </c>
      <c r="B706" s="4" t="s">
        <f>=HYPERLINK("https://rossileiloes.com.br/lote/detalhe/63874", " Lote com 100 livros infantis varios títulos")</f>
      </c>
      <c r="C706" s="4" t="inlineStr">
        <is>
          <t>Não vendido</t>
        </is>
      </c>
      <c r="D706" s="4" t="inlineStr">
        <is>
          <t>0</t>
        </is>
      </c>
      <c r="E706" s="5" t="inlineStr">
        <is>
          <t>100,00</t>
        </is>
      </c>
      <c r="F706" s="4" t="inlineStr">
        <is>
          <t>50.00</t>
        </is>
      </c>
    </row>
    <row collapsed="false" customFormat="false" customHeight="false" hidden="false" ht="12.1" outlineLevel="0" r="707">
      <c r="A707" s="5" t="s">
        <f>=HYPERLINK("https://rossileiloes.com.br/lote/detalhe/63879", "1169")</f>
      </c>
      <c r="B707" s="4" t="s">
        <f>=HYPERLINK("https://rossileiloes.com.br/lote/detalhe/63879", " Lote com 100 livros infantis varios títulos ")</f>
      </c>
      <c r="C707" s="4" t="inlineStr">
        <is>
          <t>Não vendido</t>
        </is>
      </c>
      <c r="D707" s="4" t="inlineStr">
        <is>
          <t>0</t>
        </is>
      </c>
      <c r="E707" s="5" t="inlineStr">
        <is>
          <t>100,00</t>
        </is>
      </c>
      <c r="F707" s="4" t="inlineStr">
        <is>
          <t>50.00</t>
        </is>
      </c>
    </row>
    <row collapsed="false" customFormat="false" customHeight="false" hidden="false" ht="12.1" outlineLevel="0" r="708">
      <c r="A708" s="5" t="s">
        <f>=HYPERLINK("https://rossileiloes.com.br/lote/detalhe/63881", "1170")</f>
      </c>
      <c r="B708" s="4" t="s">
        <f>=HYPERLINK("https://rossileiloes.com.br/lote/detalhe/63881", " Lote com 100 livros infantis varios títulos ")</f>
      </c>
      <c r="C708" s="4" t="inlineStr">
        <is>
          <t>Não vendido</t>
        </is>
      </c>
      <c r="D708" s="4" t="inlineStr">
        <is>
          <t>0</t>
        </is>
      </c>
      <c r="E708" s="5" t="inlineStr">
        <is>
          <t>100,00</t>
        </is>
      </c>
      <c r="F708" s="4" t="inlineStr">
        <is>
          <t>50.00</t>
        </is>
      </c>
    </row>
    <row collapsed="false" customFormat="false" customHeight="false" hidden="false" ht="12.1" outlineLevel="0" r="709">
      <c r="A709" s="5" t="s">
        <f>=HYPERLINK("https://rossileiloes.com.br/lote/detalhe/63880", "1171")</f>
      </c>
      <c r="B709" s="4" t="s">
        <f>=HYPERLINK("https://rossileiloes.com.br/lote/detalhe/63880", " Coleção Biblioteca de História 21 Biografias de Grandes Personagens")</f>
      </c>
      <c r="C709" s="4" t="inlineStr">
        <is>
          <t>Não vendido</t>
        </is>
      </c>
      <c r="D709" s="4" t="inlineStr">
        <is>
          <t>0</t>
        </is>
      </c>
      <c r="E709" s="5" t="inlineStr">
        <is>
          <t>400,00</t>
        </is>
      </c>
      <c r="F709" s="4" t="inlineStr">
        <is>
          <t>50.00</t>
        </is>
      </c>
    </row>
    <row collapsed="false" customFormat="false" customHeight="false" hidden="false" ht="12.1" outlineLevel="0" r="710">
      <c r="A710" s="5" t="s">
        <f>=HYPERLINK("https://rossileiloes.com.br/lote/detalhe/63887", "1172")</f>
      </c>
      <c r="B710" s="4" t="s">
        <f>=HYPERLINK("https://rossileiloes.com.br/lote/detalhe/63887", " Rara coleção clássicos inolvidables história  romana com 33 volumes")</f>
      </c>
      <c r="C710" s="4" t="inlineStr">
        <is>
          <t>Não vendido</t>
        </is>
      </c>
      <c r="D710" s="4" t="inlineStr">
        <is>
          <t>0</t>
        </is>
      </c>
      <c r="E710" s="5" t="inlineStr">
        <is>
          <t>400,00</t>
        </is>
      </c>
      <c r="F710" s="4" t="inlineStr">
        <is>
          <t>50.00</t>
        </is>
      </c>
    </row>
    <row collapsed="false" customFormat="false" customHeight="false" hidden="false" ht="12.1" outlineLevel="0" r="711">
      <c r="A711" s="5" t="s">
        <f>=HYPERLINK("https://rossileiloes.com.br/lote/detalhe/63886", "1173")</f>
      </c>
      <c r="B711" s="4" t="s">
        <f>=HYPERLINK("https://rossileiloes.com.br/lote/detalhe/63886", " Coleção História Da República Brasileira - 21 Volumes")</f>
      </c>
      <c r="C711" s="4" t="inlineStr">
        <is>
          <t>Não vendido</t>
        </is>
      </c>
      <c r="D711" s="4" t="inlineStr">
        <is>
          <t>0</t>
        </is>
      </c>
      <c r="E711" s="5" t="inlineStr">
        <is>
          <t>200,00</t>
        </is>
      </c>
      <c r="F711" s="4" t="inlineStr">
        <is>
          <t>50.00</t>
        </is>
      </c>
    </row>
    <row collapsed="false" customFormat="false" customHeight="false" hidden="false" ht="12.1" outlineLevel="0" r="712">
      <c r="A712" s="5" t="s">
        <f>=HYPERLINK("https://rossileiloes.com.br/lote/detalhe/63883", "1174")</f>
      </c>
      <c r="B712" s="4" t="s">
        <f>=HYPERLINK("https://rossileiloes.com.br/lote/detalhe/63883", " coleção com selos antigos de diversos países com 740 selos ")</f>
      </c>
      <c r="C712" s="4" t="inlineStr">
        <is>
          <t>Não vendido</t>
        </is>
      </c>
      <c r="D712" s="4" t="inlineStr">
        <is>
          <t>0</t>
        </is>
      </c>
      <c r="E712" s="5" t="inlineStr">
        <is>
          <t>800,00</t>
        </is>
      </c>
      <c r="F712" s="4" t="inlineStr">
        <is>
          <t>50.00</t>
        </is>
      </c>
    </row>
    <row collapsed="false" customFormat="false" customHeight="false" hidden="false" ht="12.1" outlineLevel="0" r="713">
      <c r="A713" s="5" t="s">
        <f>=HYPERLINK("https://rossileiloes.com.br/lote/detalhe/63875", "1175")</f>
      </c>
      <c r="B713" s="4" t="s">
        <f>=HYPERLINK("https://rossileiloes.com.br/lote/detalhe/63875", " Lote com diversos  gibis antigos com 700 gibis ")</f>
      </c>
      <c r="C713" s="4" t="inlineStr">
        <is>
          <t>Não vendido</t>
        </is>
      </c>
      <c r="D713" s="4" t="inlineStr">
        <is>
          <t>0</t>
        </is>
      </c>
      <c r="E713" s="5" t="inlineStr">
        <is>
          <t>400,00</t>
        </is>
      </c>
      <c r="F713" s="4" t="inlineStr">
        <is>
          <t>50.00</t>
        </is>
      </c>
    </row>
    <row collapsed="false" customFormat="false" customHeight="false" hidden="false" ht="12.1" outlineLevel="0" r="714">
      <c r="A714" s="5" t="s">
        <f>=HYPERLINK("https://rossileiloes.com.br/lote/detalhe/63876", "1176")</f>
      </c>
      <c r="B714" s="4" t="s">
        <f>=HYPERLINK("https://rossileiloes.com.br/lote/detalhe/63876", "  Agendas colégio Militar de 1973 novas")</f>
      </c>
      <c r="C714" s="4" t="inlineStr">
        <is>
          <t>Não vendido</t>
        </is>
      </c>
      <c r="D714" s="4" t="inlineStr">
        <is>
          <t>0</t>
        </is>
      </c>
      <c r="E714" s="5" t="inlineStr">
        <is>
          <t>50,00</t>
        </is>
      </c>
      <c r="F714" s="4" t="inlineStr">
        <is>
          <t>50.00</t>
        </is>
      </c>
    </row>
    <row collapsed="false" customFormat="false" customHeight="false" hidden="false" ht="12.1" outlineLevel="0" r="715">
      <c r="A715" s="5" t="s">
        <f>=HYPERLINK("https://rossileiloes.com.br/lote/detalhe/63914", "1177")</f>
      </c>
      <c r="B715" s="4" t="s">
        <f>=HYPERLINK("https://rossileiloes.com.br/lote/detalhe/63914", " Lote com 90 itens mangás,gibis")</f>
      </c>
      <c r="C715" s="4" t="inlineStr">
        <is>
          <t>Vendido</t>
        </is>
      </c>
      <c r="D715" s="4" t="inlineStr">
        <is>
          <t>1</t>
        </is>
      </c>
      <c r="E715" s="5" t="inlineStr">
        <is>
          <t>100,00</t>
        </is>
      </c>
      <c r="F715" s="4" t="inlineStr">
        <is>
          <t>50.00</t>
        </is>
      </c>
    </row>
    <row collapsed="false" customFormat="false" customHeight="false" hidden="false" ht="12.1" outlineLevel="0" r="716">
      <c r="A716" s="5" t="s">
        <f>=HYPERLINK("https://rossileiloes.com.br/lote/detalhe/63913", "1178")</f>
      </c>
      <c r="B716" s="4" t="s">
        <f>=HYPERLINK("https://rossileiloes.com.br/lote/detalhe/63913", " Lote com 21 gibis Asterix e Obelix 2 gibis nosso amiguinho,4 gibis fantasmas,3 tarzan ")</f>
      </c>
      <c r="C716" s="4" t="inlineStr">
        <is>
          <t>Vendido</t>
        </is>
      </c>
      <c r="D716" s="4" t="inlineStr">
        <is>
          <t>1</t>
        </is>
      </c>
      <c r="E716" s="5" t="inlineStr">
        <is>
          <t>50,00</t>
        </is>
      </c>
      <c r="F716" s="4" t="inlineStr">
        <is>
          <t>50.00</t>
        </is>
      </c>
    </row>
    <row collapsed="false" customFormat="false" customHeight="false" hidden="false" ht="12.1" outlineLevel="0" r="717">
      <c r="A717" s="5" t="s">
        <f>=HYPERLINK("https://rossileiloes.com.br/lote/detalhe/63916", "1179")</f>
      </c>
      <c r="B717" s="4" t="s">
        <f>=HYPERLINK("https://rossileiloes.com.br/lote/detalhe/63916", " O Mundo de Wally em 4 Fichários e fascículos dinossauros")</f>
      </c>
      <c r="C717" s="4" t="inlineStr">
        <is>
          <t>Não vendido</t>
        </is>
      </c>
      <c r="D717" s="4" t="inlineStr">
        <is>
          <t>0</t>
        </is>
      </c>
      <c r="E717" s="5" t="inlineStr">
        <is>
          <t>100,00</t>
        </is>
      </c>
      <c r="F717" s="4" t="inlineStr">
        <is>
          <t>50.00</t>
        </is>
      </c>
    </row>
    <row collapsed="false" customFormat="false" customHeight="false" hidden="false" ht="12.1" outlineLevel="0" r="718">
      <c r="A718" s="5" t="s">
        <f>=HYPERLINK("https://rossileiloes.com.br/lote/detalhe/63915", "1180")</f>
      </c>
      <c r="B718" s="4" t="s">
        <f>=HYPERLINK("https://rossileiloes.com.br/lote/detalhe/63915", " Lote com 70 revistas antigas")</f>
      </c>
      <c r="C718" s="4" t="inlineStr">
        <is>
          <t>Não vendido</t>
        </is>
      </c>
      <c r="D718" s="4" t="inlineStr">
        <is>
          <t>0</t>
        </is>
      </c>
      <c r="E718" s="5" t="inlineStr">
        <is>
          <t>100,00</t>
        </is>
      </c>
      <c r="F718" s="4" t="inlineStr">
        <is>
          <t>50.00</t>
        </is>
      </c>
    </row>
    <row collapsed="false" customFormat="false" customHeight="false" hidden="false" ht="12.1" outlineLevel="0" r="719">
      <c r="A719" s="5" t="s">
        <f>=HYPERLINK("https://rossileiloes.com.br/lote/detalhe/63917", "1181")</f>
      </c>
      <c r="B719" s="4" t="s">
        <f>=HYPERLINK("https://rossileiloes.com.br/lote/detalhe/63917", " Lote com fotografias decada de 60 cartões postais,medalhas chaveiros,óculos antigos")</f>
      </c>
      <c r="C719" s="4" t="inlineStr">
        <is>
          <t>Vendido</t>
        </is>
      </c>
      <c r="D719" s="4" t="inlineStr">
        <is>
          <t>1</t>
        </is>
      </c>
      <c r="E719" s="5" t="inlineStr">
        <is>
          <t>50,00</t>
        </is>
      </c>
      <c r="F719" s="4" t="inlineStr">
        <is>
          <t>50.00</t>
        </is>
      </c>
    </row>
    <row collapsed="false" customFormat="false" customHeight="false" hidden="false" ht="12.1" outlineLevel="0" r="720">
      <c r="A720" s="5" t="s">
        <f>=HYPERLINK("https://rossileiloes.com.br/lote/detalhe/63892", "1182")</f>
      </c>
      <c r="B720" s="4" t="s">
        <f>=HYPERLINK("https://rossileiloes.com.br/lote/detalhe/63892", " Lote com duas prateleiras de 3 metros de altura e duas tamanho padrão")</f>
      </c>
      <c r="C720" s="4" t="inlineStr">
        <is>
          <t>Não vendido</t>
        </is>
      </c>
      <c r="D720" s="4" t="inlineStr">
        <is>
          <t>0</t>
        </is>
      </c>
      <c r="E720" s="5" t="inlineStr">
        <is>
          <t>100,00</t>
        </is>
      </c>
      <c r="F720" s="4" t="inlineStr">
        <is>
          <t>50.00</t>
        </is>
      </c>
    </row>
    <row collapsed="false" customFormat="false" customHeight="false" hidden="false" ht="12.1" outlineLevel="0" r="721">
      <c r="A721" s="5" t="s">
        <f>=HYPERLINK("https://rossileiloes.com.br/lote/detalhe/63918", "1183")</f>
      </c>
      <c r="B721" s="4" t="s">
        <f>=HYPERLINK("https://rossileiloes.com.br/lote/detalhe/63918", " Enciclopédia Barsa completa")</f>
      </c>
      <c r="C721" s="4" t="inlineStr">
        <is>
          <t>Não vendido</t>
        </is>
      </c>
      <c r="D721" s="4" t="inlineStr">
        <is>
          <t>0</t>
        </is>
      </c>
      <c r="E721" s="5" t="inlineStr">
        <is>
          <t>400,00</t>
        </is>
      </c>
      <c r="F721" s="4" t="inlineStr">
        <is>
          <t>50.00</t>
        </is>
      </c>
    </row>
    <row collapsed="false" customFormat="false" customHeight="false" hidden="false" ht="12.1" outlineLevel="0" r="722">
      <c r="A722" s="5" t="s">
        <f>=HYPERLINK("https://rossileiloes.com.br/lote/detalhe/63898", "1184")</f>
      </c>
      <c r="B722" s="4" t="s">
        <f>=HYPERLINK("https://rossileiloes.com.br/lote/detalhe/63898", " Enciclopédia Barsa temática  ")</f>
      </c>
      <c r="C722" s="4" t="inlineStr">
        <is>
          <t>Não vendido</t>
        </is>
      </c>
      <c r="D722" s="4" t="inlineStr">
        <is>
          <t>0</t>
        </is>
      </c>
      <c r="E722" s="5" t="inlineStr">
        <is>
          <t>150,00</t>
        </is>
      </c>
      <c r="F722" s="4" t="inlineStr">
        <is>
          <t>50.00</t>
        </is>
      </c>
    </row>
    <row collapsed="false" customFormat="false" customHeight="false" hidden="false" ht="12.1" outlineLevel="0" r="723">
      <c r="A723" s="5" t="s">
        <f>=HYPERLINK("https://rossileiloes.com.br/lote/detalhe/63897", "1185")</f>
      </c>
      <c r="B723" s="4" t="s">
        <f>=HYPERLINK("https://rossileiloes.com.br/lote/detalhe/63897", " Coleção Enciclopédia Da Vida Selvagem Larousse - Vhs/ Livros")</f>
      </c>
      <c r="C723" s="4" t="inlineStr">
        <is>
          <t>Não vendido</t>
        </is>
      </c>
      <c r="D723" s="4" t="inlineStr">
        <is>
          <t>0</t>
        </is>
      </c>
      <c r="E723" s="5" t="inlineStr">
        <is>
          <t>150,00</t>
        </is>
      </c>
      <c r="F723" s="4" t="inlineStr">
        <is>
          <t>50.00</t>
        </is>
      </c>
    </row>
    <row collapsed="false" customFormat="false" customHeight="false" hidden="false" ht="12.1" outlineLevel="0" r="724">
      <c r="A724" s="5" t="s">
        <f>=HYPERLINK("https://rossileiloes.com.br/lote/detalhe/63896", "1186")</f>
      </c>
      <c r="B724" s="4" t="s">
        <f>=HYPERLINK("https://rossileiloes.com.br/lote/detalhe/63896", " Coleção revistas Recreio lote com 440 revistas")</f>
      </c>
      <c r="C724" s="4" t="inlineStr">
        <is>
          <t>Não vendido</t>
        </is>
      </c>
      <c r="D724" s="4" t="inlineStr">
        <is>
          <t>0</t>
        </is>
      </c>
      <c r="E724" s="5" t="inlineStr">
        <is>
          <t>150,00</t>
        </is>
      </c>
      <c r="F724" s="4" t="inlineStr">
        <is>
          <t>50.00</t>
        </is>
      </c>
    </row>
    <row collapsed="false" customFormat="false" customHeight="false" hidden="false" ht="12.1" outlineLevel="0" r="725">
      <c r="A725" s="5" t="s">
        <f>=HYPERLINK("https://rossileiloes.com.br/lote/detalhe/63900", "1187")</f>
      </c>
      <c r="B725" s="4" t="s">
        <f>=HYPERLINK("https://rossileiloes.com.br/lote/detalhe/63900", " Coleção com 85 revistas")</f>
      </c>
      <c r="C725" s="4" t="inlineStr">
        <is>
          <t>Não vendido</t>
        </is>
      </c>
      <c r="D725" s="4" t="inlineStr">
        <is>
          <t>0</t>
        </is>
      </c>
      <c r="E725" s="5" t="inlineStr">
        <is>
          <t>50,00</t>
        </is>
      </c>
      <c r="F725" s="4" t="inlineStr">
        <is>
          <t>50.00</t>
        </is>
      </c>
    </row>
    <row collapsed="false" customFormat="false" customHeight="false" hidden="false" ht="12.1" outlineLevel="0" r="726">
      <c r="A726" s="5" t="s">
        <f>=HYPERLINK("https://rossileiloes.com.br/lote/detalhe/63899", "1188")</f>
      </c>
      <c r="B726" s="4" t="s">
        <f>=HYPERLINK("https://rossileiloes.com.br/lote/detalhe/63899", " Fone sem fio Sony")</f>
      </c>
      <c r="C726" s="4" t="inlineStr">
        <is>
          <t>Não vendido</t>
        </is>
      </c>
      <c r="D726" s="4" t="inlineStr">
        <is>
          <t>0</t>
        </is>
      </c>
      <c r="E726" s="5" t="inlineStr">
        <is>
          <t>50,00</t>
        </is>
      </c>
      <c r="F726" s="4" t="inlineStr">
        <is>
          <t>50.00</t>
        </is>
      </c>
    </row>
    <row collapsed="false" customFormat="false" customHeight="false" hidden="false" ht="12.1" outlineLevel="0" r="727">
      <c r="A727" s="5" t="s">
        <f>=HYPERLINK("https://rossileiloes.com.br/lote/detalhe/63901", "1189")</f>
      </c>
      <c r="B727" s="4" t="s">
        <f>=HYPERLINK("https://rossileiloes.com.br/lote/detalhe/63901", " Duas Câmara fotográficas com case pra mergulhos")</f>
      </c>
      <c r="C727" s="4" t="inlineStr">
        <is>
          <t>Não vendido</t>
        </is>
      </c>
      <c r="D727" s="4" t="inlineStr">
        <is>
          <t>0</t>
        </is>
      </c>
      <c r="E727" s="5" t="inlineStr">
        <is>
          <t>100,00</t>
        </is>
      </c>
      <c r="F727" s="4" t="inlineStr">
        <is>
          <t>50.00</t>
        </is>
      </c>
    </row>
    <row collapsed="false" customFormat="false" customHeight="false" hidden="false" ht="12.1" outlineLevel="0" r="728">
      <c r="A728" s="5" t="s">
        <f>=HYPERLINK("https://rossileiloes.com.br/lote/detalhe/63902", "1190")</f>
      </c>
      <c r="B728" s="4" t="s">
        <f>=HYPERLINK("https://rossileiloes.com.br/lote/detalhe/63902", " Maçarico yanes")</f>
      </c>
      <c r="C728" s="4" t="inlineStr">
        <is>
          <t>Não vendido</t>
        </is>
      </c>
      <c r="D728" s="4" t="inlineStr">
        <is>
          <t>0</t>
        </is>
      </c>
      <c r="E728" s="5" t="inlineStr">
        <is>
          <t>50,00</t>
        </is>
      </c>
      <c r="F728" s="4" t="inlineStr">
        <is>
          <t>50.00</t>
        </is>
      </c>
    </row>
    <row collapsed="false" customFormat="false" customHeight="false" hidden="false" ht="12.1" outlineLevel="0" r="729">
      <c r="A729" s="5" t="s">
        <f>=HYPERLINK("https://rossileiloes.com.br/lote/detalhe/63903", "1191")</f>
      </c>
      <c r="B729" s="4" t="s">
        <f>=HYPERLINK("https://rossileiloes.com.br/lote/detalhe/63903", " Slides de anatomia - 302 itens - Germinação, fisiologia, glandulas, sistema circulatorio, digestivo, audição etc. E 2 discos de retroprojetor")</f>
      </c>
      <c r="C729" s="4" t="inlineStr">
        <is>
          <t>Não vendido</t>
        </is>
      </c>
      <c r="D729" s="4" t="inlineStr">
        <is>
          <t>0</t>
        </is>
      </c>
      <c r="E729" s="5" t="inlineStr">
        <is>
          <t>100,00</t>
        </is>
      </c>
      <c r="F729" s="4" t="inlineStr">
        <is>
          <t>50.00</t>
        </is>
      </c>
    </row>
    <row collapsed="false" customFormat="false" customHeight="false" hidden="false" ht="12.1" outlineLevel="0" r="730">
      <c r="A730" s="5" t="s">
        <f>=HYPERLINK("https://rossileiloes.com.br/lote/detalhe/63919", "1192")</f>
      </c>
      <c r="B730" s="4" t="s">
        <f>=HYPERLINK("https://rossileiloes.com.br/lote/detalhe/63919", " Coleção de  câmeras  fotográficas antigas,capas filmes,flashsbaterias etc. Sao 232 câmaras 18 flashs,90 capas")</f>
      </c>
      <c r="C730" s="4" t="inlineStr">
        <is>
          <t>Não vendido</t>
        </is>
      </c>
      <c r="D730" s="4" t="inlineStr">
        <is>
          <t>1</t>
        </is>
      </c>
      <c r="E730" s="5" t="inlineStr">
        <is>
          <t>900,00</t>
        </is>
      </c>
      <c r="F730" s="4" t="inlineStr">
        <is>
          <t>50.00</t>
        </is>
      </c>
    </row>
    <row collapsed="false" customFormat="false" customHeight="false" hidden="false" ht="12.1" outlineLevel="0" r="731">
      <c r="A731" s="5" t="s">
        <f>=HYPERLINK("https://rossileiloes.com.br/lote/detalhe/63923", "1193")</f>
      </c>
      <c r="B731" s="4" t="s">
        <f>=HYPERLINK("https://rossileiloes.com.br/lote/detalhe/63923", " Lote com fitas pra maquinas de escrever")</f>
      </c>
      <c r="C731" s="4" t="inlineStr">
        <is>
          <t>Não vendido</t>
        </is>
      </c>
      <c r="D731" s="4" t="inlineStr">
        <is>
          <t>0</t>
        </is>
      </c>
      <c r="E731" s="5" t="inlineStr">
        <is>
          <t>50,00</t>
        </is>
      </c>
      <c r="F731" s="4" t="inlineStr">
        <is>
          <t>50.00</t>
        </is>
      </c>
    </row>
    <row collapsed="false" customFormat="false" customHeight="false" hidden="false" ht="12.1" outlineLevel="0" r="732">
      <c r="A732" s="5" t="s">
        <f>=HYPERLINK("https://rossileiloes.com.br/lote/detalhe/63911", "1194")</f>
      </c>
      <c r="B732" s="4" t="s">
        <f>=HYPERLINK("https://rossileiloes.com.br/lote/detalhe/63911", " Lote com gravadores , celulares e fitas")</f>
      </c>
      <c r="C732" s="4" t="inlineStr">
        <is>
          <t>Vendido</t>
        </is>
      </c>
      <c r="D732" s="4" t="inlineStr">
        <is>
          <t>2</t>
        </is>
      </c>
      <c r="E732" s="5" t="inlineStr">
        <is>
          <t>100,00</t>
        </is>
      </c>
      <c r="F732" s="4" t="inlineStr">
        <is>
          <t>50.00</t>
        </is>
      </c>
    </row>
    <row collapsed="false" customFormat="false" customHeight="false" hidden="false" ht="12.1" outlineLevel="0" r="733">
      <c r="A733" s="5" t="s">
        <f>=HYPERLINK("https://rossileiloes.com.br/lote/detalhe/63912", "1195")</f>
      </c>
      <c r="B733" s="4" t="s">
        <f>=HYPERLINK("https://rossileiloes.com.br/lote/detalhe/63912", " Panela tipo Rechaud pra mesa")</f>
      </c>
      <c r="C733" s="4" t="inlineStr">
        <is>
          <t>Vendido</t>
        </is>
      </c>
      <c r="D733" s="4" t="inlineStr">
        <is>
          <t>1</t>
        </is>
      </c>
      <c r="E733" s="5" t="inlineStr">
        <is>
          <t>250,00</t>
        </is>
      </c>
      <c r="F733" s="4" t="inlineStr">
        <is>
          <t>50.00</t>
        </is>
      </c>
    </row>
    <row collapsed="false" customFormat="false" customHeight="false" hidden="false" ht="12.1" outlineLevel="0" r="734">
      <c r="A734" s="5" t="s">
        <f>=HYPERLINK("https://rossileiloes.com.br/lote/detalhe/63922", "1196")</f>
      </c>
      <c r="B734" s="4" t="s">
        <f>=HYPERLINK("https://rossileiloes.com.br/lote/detalhe/63922", " Rechaud metal ezpresurizado a prata")</f>
      </c>
      <c r="C734" s="4" t="inlineStr">
        <is>
          <t>Vendido</t>
        </is>
      </c>
      <c r="D734" s="4" t="inlineStr">
        <is>
          <t>1</t>
        </is>
      </c>
      <c r="E734" s="5" t="inlineStr">
        <is>
          <t>250,00</t>
        </is>
      </c>
      <c r="F734" s="4" t="inlineStr">
        <is>
          <t>50.00</t>
        </is>
      </c>
    </row>
    <row collapsed="false" customFormat="false" customHeight="false" hidden="false" ht="12.1" outlineLevel="0" r="735">
      <c r="A735" s="5" t="s">
        <f>=HYPERLINK("https://rossileiloes.com.br/lote/detalhe/63928", "1197")</f>
      </c>
      <c r="B735" s="4" t="s">
        <f>=HYPERLINK("https://rossileiloes.com.br/lote/detalhe/63928", " SAMOVAR EM METAL ESPESSURADO A PRATA. 40 cm de altura")</f>
      </c>
      <c r="C735" s="4" t="inlineStr">
        <is>
          <t>Vendido</t>
        </is>
      </c>
      <c r="D735" s="4" t="inlineStr">
        <is>
          <t>1</t>
        </is>
      </c>
      <c r="E735" s="5" t="inlineStr">
        <is>
          <t>300,00</t>
        </is>
      </c>
      <c r="F735" s="4" t="inlineStr">
        <is>
          <t>50.00</t>
        </is>
      </c>
    </row>
    <row collapsed="false" customFormat="false" customHeight="false" hidden="false" ht="12.1" outlineLevel="0" r="736">
      <c r="A736" s="5" t="s">
        <f>=HYPERLINK("https://rossileiloes.com.br/lote/detalhe/63920", "1198")</f>
      </c>
      <c r="B736" s="4" t="s">
        <f>=HYPERLINK("https://rossileiloes.com.br/lote/detalhe/63920", " Porta caviar em  METAL ESPESSURADO A PRATA")</f>
      </c>
      <c r="C736" s="4" t="inlineStr">
        <is>
          <t>Vendido</t>
        </is>
      </c>
      <c r="D736" s="4" t="inlineStr">
        <is>
          <t>1</t>
        </is>
      </c>
      <c r="E736" s="5" t="inlineStr">
        <is>
          <t>250,00</t>
        </is>
      </c>
      <c r="F736" s="4" t="inlineStr">
        <is>
          <t>50.00</t>
        </is>
      </c>
    </row>
    <row collapsed="false" customFormat="false" customHeight="false" hidden="false" ht="12.1" outlineLevel="0" r="737">
      <c r="A737" s="5" t="s">
        <f>=HYPERLINK("https://rossileiloes.com.br/lote/detalhe/63921", "1199")</f>
      </c>
      <c r="B737" s="4" t="s">
        <f>=HYPERLINK("https://rossileiloes.com.br/lote/detalhe/63921", " DUAS BACIAS EM METAL ESPESSURADO A PRATA. 40 CM DE COMPRIMENTO")</f>
      </c>
      <c r="C737" s="4" t="inlineStr">
        <is>
          <t>Vendido</t>
        </is>
      </c>
      <c r="D737" s="4" t="inlineStr">
        <is>
          <t>1</t>
        </is>
      </c>
      <c r="E737" s="5" t="inlineStr">
        <is>
          <t>150,00</t>
        </is>
      </c>
      <c r="F737" s="4" t="inlineStr">
        <is>
          <t>50.00</t>
        </is>
      </c>
    </row>
    <row collapsed="false" customFormat="false" customHeight="false" hidden="false" ht="12.1" outlineLevel="0" r="738">
      <c r="A738" s="5" t="s">
        <f>=HYPERLINK("https://rossileiloes.com.br/lote/detalhe/63925", "1200")</f>
      </c>
      <c r="B738" s="4" t="s">
        <f>=HYPERLINK("https://rossileiloes.com.br/lote/detalhe/63925", " Panela e centro de mesa em metal espessurado a prata")</f>
      </c>
      <c r="C738" s="4" t="inlineStr">
        <is>
          <t>Vendido</t>
        </is>
      </c>
      <c r="D738" s="4" t="inlineStr">
        <is>
          <t>1</t>
        </is>
      </c>
      <c r="E738" s="5" t="inlineStr">
        <is>
          <t>150,00</t>
        </is>
      </c>
      <c r="F738" s="4" t="inlineStr">
        <is>
          <t>50.00</t>
        </is>
      </c>
    </row>
    <row collapsed="false" customFormat="false" customHeight="false" hidden="false" ht="12.1" outlineLevel="0" r="739">
      <c r="A739" s="5" t="s">
        <f>=HYPERLINK("https://rossileiloes.com.br/lote/detalhe/63927", "1201")</f>
      </c>
      <c r="B739" s="4" t="s">
        <f>=HYPERLINK("https://rossileiloes.com.br/lote/detalhe/63927", " Relógio espingarda de Madeira")</f>
      </c>
      <c r="C739" s="4" t="inlineStr">
        <is>
          <t>Não vendido</t>
        </is>
      </c>
      <c r="D739" s="4" t="inlineStr">
        <is>
          <t>0</t>
        </is>
      </c>
      <c r="E739" s="5" t="inlineStr">
        <is>
          <t>150,00</t>
        </is>
      </c>
      <c r="F739" s="4" t="inlineStr">
        <is>
          <t>50.00</t>
        </is>
      </c>
    </row>
    <row collapsed="false" customFormat="false" customHeight="false" hidden="false" ht="12.1" outlineLevel="0" r="740">
      <c r="A740" s="5" t="s">
        <f>=HYPERLINK("https://rossileiloes.com.br/lote/detalhe/63930", "1202")</f>
      </c>
      <c r="B740" s="4" t="s">
        <f>=HYPERLINK("https://rossileiloes.com.br/lote/detalhe/63930", " Gravador Akai 707S ")</f>
      </c>
      <c r="C740" s="4" t="inlineStr">
        <is>
          <t>Não vendido</t>
        </is>
      </c>
      <c r="D740" s="4" t="inlineStr">
        <is>
          <t>0</t>
        </is>
      </c>
      <c r="E740" s="5" t="inlineStr">
        <is>
          <t>500,00</t>
        </is>
      </c>
      <c r="F740" s="4" t="inlineStr">
        <is>
          <t>50.00</t>
        </is>
      </c>
    </row>
    <row collapsed="false" customFormat="false" customHeight="false" hidden="false" ht="12.1" outlineLevel="0" r="741">
      <c r="A741" s="5" t="s">
        <f>=HYPERLINK("https://rossileiloes.com.br/lote/detalhe/63929", "1203")</f>
      </c>
      <c r="B741" s="4" t="s">
        <f>=HYPERLINK("https://rossileiloes.com.br/lote/detalhe/63929", " Telefone PEÇA ÚNICA  metal em ótimo detalhes - 30cm Alt 40cm Larg")</f>
      </c>
      <c r="C741" s="4" t="inlineStr">
        <is>
          <t>Não vendido</t>
        </is>
      </c>
      <c r="D741" s="4" t="inlineStr">
        <is>
          <t>0</t>
        </is>
      </c>
      <c r="E741" s="5" t="inlineStr">
        <is>
          <t>1.200,00</t>
        </is>
      </c>
      <c r="F741" s="4" t="inlineStr">
        <is>
          <t>50.00</t>
        </is>
      </c>
    </row>
    <row collapsed="false" customFormat="false" customHeight="false" hidden="false" ht="12.1" outlineLevel="0" r="742">
      <c r="A742" s="5" t="s">
        <f>=HYPERLINK("https://rossileiloes.com.br/lote/detalhe/63926", "1204")</f>
      </c>
      <c r="B742" s="4" t="s">
        <f>=HYPERLINK("https://rossileiloes.com.br/lote/detalhe/63926", " telefone antigo")</f>
      </c>
      <c r="C742" s="4" t="inlineStr">
        <is>
          <t>Não vendido</t>
        </is>
      </c>
      <c r="D742" s="4" t="inlineStr">
        <is>
          <t>0</t>
        </is>
      </c>
      <c r="E742" s="5" t="inlineStr">
        <is>
          <t>500,00</t>
        </is>
      </c>
      <c r="F742" s="4" t="inlineStr">
        <is>
          <t>50.00</t>
        </is>
      </c>
    </row>
    <row collapsed="false" customFormat="false" customHeight="false" hidden="false" ht="12.1" outlineLevel="0" r="743">
      <c r="A743" s="5" t="s">
        <f>=HYPERLINK("https://rossileiloes.com.br/lote/detalhe/63931", "1205")</f>
      </c>
      <c r="B743" s="4" t="s">
        <f>=HYPERLINK("https://rossileiloes.com.br/lote/detalhe/63931", " esculturas com colunas de mármore tamanho 65  cm.  as duas colunas : 80 cm.")</f>
      </c>
      <c r="C743" s="4" t="inlineStr">
        <is>
          <t>Não vendido</t>
        </is>
      </c>
      <c r="D743" s="4" t="inlineStr">
        <is>
          <t>0</t>
        </is>
      </c>
      <c r="E743" s="5" t="inlineStr">
        <is>
          <t>4.500,00</t>
        </is>
      </c>
      <c r="F743" s="4" t="inlineStr">
        <is>
          <t>50.00</t>
        </is>
      </c>
    </row>
    <row collapsed="false" customFormat="false" customHeight="false" hidden="false" ht="12.1" outlineLevel="0" r="744">
      <c r="A744" s="5" t="s">
        <f>=HYPERLINK("https://rossileiloes.com.br/lote/detalhe/63924", "1206")</f>
      </c>
      <c r="B744" s="4" t="s">
        <f>=HYPERLINK("https://rossileiloes.com.br/lote/detalhe/63924", " coluna de mármore tamanho 90x20cm")</f>
      </c>
      <c r="C744" s="4" t="inlineStr">
        <is>
          <t>Não vendido</t>
        </is>
      </c>
      <c r="D744" s="4" t="inlineStr">
        <is>
          <t>0</t>
        </is>
      </c>
      <c r="E744" s="5" t="inlineStr">
        <is>
          <t>500,00</t>
        </is>
      </c>
      <c r="F744" s="4" t="inlineStr">
        <is>
          <t>50.00</t>
        </is>
      </c>
    </row>
    <row collapsed="false" customFormat="false" customHeight="false" hidden="false" ht="12.1" outlineLevel="0" r="745">
      <c r="A745" s="5" t="s">
        <f>=HYPERLINK("https://rossileiloes.com.br/lote/detalhe/63933", "1207")</f>
      </c>
      <c r="B745" s="4" t="s">
        <f>=HYPERLINK("https://rossileiloes.com.br/lote/detalhe/63933", "  Penteadeira Chipandelle decada de 70 , com banqueta estofada  1,52 x 1,12 x 0,43 ")</f>
      </c>
      <c r="C745" s="4" t="inlineStr">
        <is>
          <t>Não vendido</t>
        </is>
      </c>
      <c r="D745" s="4" t="inlineStr">
        <is>
          <t>0</t>
        </is>
      </c>
      <c r="E745" s="5" t="inlineStr">
        <is>
          <t>2.500,00</t>
        </is>
      </c>
      <c r="F745" s="4" t="inlineStr">
        <is>
          <t>50.00</t>
        </is>
      </c>
    </row>
    <row collapsed="false" customFormat="false" customHeight="false" hidden="false" ht="12.1" outlineLevel="0" r="746">
      <c r="A746" s="5" t="s">
        <f>=HYPERLINK("https://rossileiloes.com.br/lote/detalhe/63934", "1208")</f>
      </c>
      <c r="B746" s="4" t="s">
        <f>=HYPERLINK("https://rossileiloes.com.br/lote/detalhe/63934", " Poncheira Em cristal tcheco  lapidada acompanha 8 copos")</f>
      </c>
      <c r="C746" s="4" t="inlineStr">
        <is>
          <t>Vendido</t>
        </is>
      </c>
      <c r="D746" s="4" t="inlineStr">
        <is>
          <t>1</t>
        </is>
      </c>
      <c r="E746" s="5" t="inlineStr">
        <is>
          <t>900,00</t>
        </is>
      </c>
      <c r="F746" s="4" t="inlineStr">
        <is>
          <t>50.00</t>
        </is>
      </c>
    </row>
    <row collapsed="false" customFormat="false" customHeight="false" hidden="false" ht="12.1" outlineLevel="0" r="747">
      <c r="A747" s="5" t="s">
        <f>=HYPERLINK("https://rossileiloes.com.br/lote/detalhe/63932", "1209")</f>
      </c>
      <c r="B747" s="4" t="s">
        <f>=HYPERLINK("https://rossileiloes.com.br/lote/detalhe/63932", " maquina ROLLEIFLEX SL35 com lente objetiva  case original e  manual")</f>
      </c>
      <c r="C747" s="4" t="inlineStr">
        <is>
          <t>Não vendido</t>
        </is>
      </c>
      <c r="D747" s="4" t="inlineStr">
        <is>
          <t>0</t>
        </is>
      </c>
      <c r="E747" s="5" t="inlineStr">
        <is>
          <t>900,00</t>
        </is>
      </c>
      <c r="F747" s="4" t="inlineStr">
        <is>
          <t>50.00</t>
        </is>
      </c>
    </row>
    <row collapsed="false" customFormat="false" customHeight="false" hidden="false" ht="12.1" outlineLevel="0" r="748">
      <c r="A748" s="5" t="s">
        <f>=HYPERLINK("https://rossileiloes.com.br/lote/detalhe/63935", "1210")</f>
      </c>
      <c r="B748" s="4" t="s">
        <f>=HYPERLINK("https://rossileiloes.com.br/lote/detalhe/63935", " poncheira  importada em cristal tcheco, lapidada. total de 13 peças")</f>
      </c>
      <c r="C748" s="4" t="inlineStr">
        <is>
          <t>Vendido</t>
        </is>
      </c>
      <c r="D748" s="4" t="inlineStr">
        <is>
          <t>1</t>
        </is>
      </c>
      <c r="E748" s="5" t="inlineStr">
        <is>
          <t>1.100,00</t>
        </is>
      </c>
      <c r="F748" s="4" t="inlineStr">
        <is>
          <t>50.00</t>
        </is>
      </c>
    </row>
    <row collapsed="false" customFormat="false" customHeight="false" hidden="false" ht="12.1" outlineLevel="0" r="749">
      <c r="A749" s="5" t="s">
        <f>=HYPERLINK("https://rossileiloes.com.br/lote/detalhe/63936", "1211")</f>
      </c>
      <c r="B749" s="4" t="s">
        <f>=HYPERLINK("https://rossileiloes.com.br/lote/detalhe/63936", " Lote com itens eletrônicos luminárias etc")</f>
      </c>
      <c r="C749" s="4" t="inlineStr">
        <is>
          <t>Vendido</t>
        </is>
      </c>
      <c r="D749" s="4" t="inlineStr">
        <is>
          <t>1</t>
        </is>
      </c>
      <c r="E749" s="5" t="inlineStr">
        <is>
          <t>100,00</t>
        </is>
      </c>
      <c r="F749" s="4" t="inlineStr">
        <is>
          <t>50.00</t>
        </is>
      </c>
    </row>
    <row collapsed="false" customFormat="false" customHeight="false" hidden="false" ht="12.1" outlineLevel="0" r="750">
      <c r="A750" s="5" t="s">
        <f>=HYPERLINK("https://rossileiloes.com.br/lote/detalhe/63824", "1212")</f>
      </c>
      <c r="B750" s="4" t="s">
        <f>=HYPERLINK("https://rossileiloes.com.br/lote/detalhe/63824", " Lote com 47 itens porta toalhas,porta acessórios para banheiros  sem uso")</f>
      </c>
      <c r="C750" s="4" t="inlineStr">
        <is>
          <t>Não vendido</t>
        </is>
      </c>
      <c r="D750" s="4" t="inlineStr">
        <is>
          <t>0</t>
        </is>
      </c>
      <c r="E750" s="5" t="inlineStr">
        <is>
          <t>200,00</t>
        </is>
      </c>
      <c r="F750" s="4" t="inlineStr">
        <is>
          <t>50.00</t>
        </is>
      </c>
    </row>
    <row collapsed="false" customFormat="false" customHeight="false" hidden="false" ht="12.1" outlineLevel="0" r="751">
      <c r="A751" s="5" t="s">
        <f>=HYPERLINK("https://rossileiloes.com.br/lote/detalhe/63826", "1213")</f>
      </c>
      <c r="B751" s="4" t="s">
        <f>=HYPERLINK("https://rossileiloes.com.br/lote/detalhe/63826", " Lote com diversos canos toneiras,etc")</f>
      </c>
      <c r="C751" s="4" t="inlineStr">
        <is>
          <t>Vendido</t>
        </is>
      </c>
      <c r="D751" s="4" t="inlineStr">
        <is>
          <t>1</t>
        </is>
      </c>
      <c r="E751" s="5" t="inlineStr">
        <is>
          <t>100,00</t>
        </is>
      </c>
      <c r="F751" s="4" t="inlineStr">
        <is>
          <t>50.00</t>
        </is>
      </c>
    </row>
    <row collapsed="false" customFormat="false" customHeight="false" hidden="false" ht="12.1" outlineLevel="0" r="752">
      <c r="A752" s="5" t="s">
        <f>=HYPERLINK("https://rossileiloes.com.br/lote/detalhe/63827", "1214")</f>
      </c>
      <c r="B752" s="4" t="s">
        <f>=HYPERLINK("https://rossileiloes.com.br/lote/detalhe/63827", " Lote com aproximadamente 500 itens diversos")</f>
      </c>
      <c r="C752" s="4" t="inlineStr">
        <is>
          <t>Não vendido</t>
        </is>
      </c>
      <c r="D752" s="4" t="inlineStr">
        <is>
          <t>0</t>
        </is>
      </c>
      <c r="E752" s="5" t="inlineStr">
        <is>
          <t>200,00</t>
        </is>
      </c>
      <c r="F752" s="4" t="inlineStr">
        <is>
          <t>50.00</t>
        </is>
      </c>
    </row>
    <row collapsed="false" customFormat="false" customHeight="false" hidden="false" ht="12.1" outlineLevel="0" r="753">
      <c r="A753" s="5" t="s">
        <f>=HYPERLINK("https://rossileiloes.com.br/lote/detalhe/63825", "1215")</f>
      </c>
      <c r="B753" s="4" t="s">
        <f>=HYPERLINK("https://rossileiloes.com.br/lote/detalhe/63825", " Lote itens diversos")</f>
      </c>
      <c r="C753" s="4" t="inlineStr">
        <is>
          <t>Vendido</t>
        </is>
      </c>
      <c r="D753" s="4" t="inlineStr">
        <is>
          <t>1</t>
        </is>
      </c>
      <c r="E753" s="5" t="inlineStr">
        <is>
          <t>50,00</t>
        </is>
      </c>
      <c r="F753" s="4" t="inlineStr">
        <is>
          <t>50.00</t>
        </is>
      </c>
    </row>
    <row collapsed="false" customFormat="false" customHeight="false" hidden="false" ht="12.1" outlineLevel="0" r="754">
      <c r="A754" s="5" t="s">
        <f>=HYPERLINK("https://rossileiloes.com.br/lote/detalhe/63829", "1216")</f>
      </c>
      <c r="B754" s="4" t="s">
        <f>=HYPERLINK("https://rossileiloes.com.br/lote/detalhe/63829", " Enciclopédia Da Natureza Planeta Vivo Coleção ,com livros e fitas")</f>
      </c>
      <c r="C754" s="4" t="inlineStr">
        <is>
          <t>Não vendido</t>
        </is>
      </c>
      <c r="D754" s="4" t="inlineStr">
        <is>
          <t>0</t>
        </is>
      </c>
      <c r="E754" s="5" t="inlineStr">
        <is>
          <t>250,00</t>
        </is>
      </c>
      <c r="F754" s="4" t="inlineStr">
        <is>
          <t>50.00</t>
        </is>
      </c>
    </row>
    <row collapsed="false" customFormat="false" customHeight="false" hidden="false" ht="12.1" outlineLevel="0" r="755">
      <c r="A755" s="5" t="s">
        <f>=HYPERLINK("https://rossileiloes.com.br/lote/detalhe/63828", "1217")</f>
      </c>
      <c r="B755" s="4" t="s">
        <f>=HYPERLINK("https://rossileiloes.com.br/lote/detalhe/63828", " Exclusivo peça unica  Cardápio da seleção brasileira de 1970 autografado num evento qu foi realizado no  Rio de Janeiro nesta data do cardápio.13 cm de  largura e  altura 23cm aviado por historiador ")</f>
      </c>
      <c r="C755" s="4" t="inlineStr">
        <is>
          <t>Não vendido</t>
        </is>
      </c>
      <c r="D755" s="4" t="inlineStr">
        <is>
          <t>0</t>
        </is>
      </c>
      <c r="E755" s="5" t="inlineStr">
        <is>
          <t>10.000,00</t>
        </is>
      </c>
      <c r="F7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2026-04-24T11:26:40.00Z</dcterms:created>
  <dc:creator>Tellks Tecnologia</dc:creator>
  <cp:revision>0</cp:revision>
</cp:coreProperties>
</file>