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250 Lotes Aprox.: VEÍCULOS, CAMINHÕES, TRATORES, INDUSTRIA, IMPL. AGRÍCOLAS,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27/04/2017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=HYPERLINK("https://rossileiloes.com.br/lote/detalhe/7324", "001")</f>
      </c>
      <c r="B11" s="4" t="s">
        <f>=HYPERLINK("https://rossileiloes.com.br/lote/detalhe/7324", " Gol 1.0Flex - Ano 2011/2012 - Cor Branca PLACA:  AUR-8867  CHASSI:  9BWAA05W4CP073193  LOCAL:  UJU PATRIM.:30746")</f>
      </c>
      <c r="C11" s="4" t="inlineStr">
        <is>
          <t>Vendido</t>
        </is>
      </c>
      <c r="D11" s="4" t="inlineStr">
        <is>
          <t>11</t>
        </is>
      </c>
      <c r="E11" s="5" t="inlineStr">
        <is>
          <t>8.500,00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=HYPERLINK("https://rossileiloes.com.br/lote/detalhe/7325", "002")</f>
      </c>
      <c r="B12" s="4" t="s">
        <f>=HYPERLINK("https://rossileiloes.com.br/lote/detalhe/7325", " Gol 1.0Flex - Ano 2009/2010 - Cor Branca PLACA:  ENM-0613  CHASSI:  9BWAA05W7AP064968  LOCAL:  UJU Patrim.:30568")</f>
      </c>
      <c r="C12" s="4" t="inlineStr">
        <is>
          <t>Vendido</t>
        </is>
      </c>
      <c r="D12" s="4" t="inlineStr">
        <is>
          <t>1</t>
        </is>
      </c>
      <c r="E12" s="5" t="inlineStr">
        <is>
          <t>6.750,00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=HYPERLINK("https://rossileiloes.com.br/lote/detalhe/7326", "003")</f>
      </c>
      <c r="B13" s="4" t="s">
        <f>=HYPERLINK("https://rossileiloes.com.br/lote/detalhe/7326", " Gol 1.0Flex - Ano 2010/2011 - Cor Branca PLACA:  ERQ-1872  CHASSI:  9BWAA05W8BP050577  LOCAL:  UJU Patrim.:30638")</f>
      </c>
      <c r="C13" s="4" t="inlineStr">
        <is>
          <t>Vendido</t>
        </is>
      </c>
      <c r="D13" s="4" t="inlineStr">
        <is>
          <t>6</t>
        </is>
      </c>
      <c r="E13" s="5" t="inlineStr">
        <is>
          <t>7.250,00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=HYPERLINK("https://rossileiloes.com.br/lote/detalhe/7327", "004")</f>
      </c>
      <c r="B14" s="4" t="s">
        <f>=HYPERLINK("https://rossileiloes.com.br/lote/detalhe/7327", " Gol 1.0Flex - Ano 2011/2012 - Cor Branca PLACA:  AUN-5783  CHASSI:  9BWAA05W9CP059208  LOCAL:  UJU Patrim.:30672")</f>
      </c>
      <c r="C14" s="4" t="inlineStr">
        <is>
          <t>Vendido</t>
        </is>
      </c>
      <c r="D14" s="4" t="inlineStr">
        <is>
          <t>4</t>
        </is>
      </c>
      <c r="E14" s="5" t="inlineStr">
        <is>
          <t>6.750,00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=HYPERLINK("https://rossileiloes.com.br/lote/detalhe/7323", "005")</f>
      </c>
      <c r="B15" s="4" t="s">
        <f>=HYPERLINK("https://rossileiloes.com.br/lote/detalhe/7323", " Gol 1.0Flex - Ano 2011/2012 - Cor Branca PLACA:  AUQ-8262  CHASSI:  9BWAA05W4CP070214  LOCAL:  UJU Patrim.:30718")</f>
      </c>
      <c r="C15" s="4" t="inlineStr">
        <is>
          <t>Vendido</t>
        </is>
      </c>
      <c r="D15" s="4" t="inlineStr">
        <is>
          <t>6</t>
        </is>
      </c>
      <c r="E15" s="5" t="inlineStr">
        <is>
          <t>7.250,00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=HYPERLINK("https://rossileiloes.com.br/lote/detalhe/7322", "006")</f>
      </c>
      <c r="B16" s="4" t="s">
        <f>=HYPERLINK("https://rossileiloes.com.br/lote/detalhe/7322", " Gol 1.0Flex - Ano 2011/2012 - Cor Branca PLACA:  AUR-2930  CHASSI:  9BWAA05W7CP070062  LOCAL:  UJU Patrim.:30721")</f>
      </c>
      <c r="C16" s="4" t="inlineStr">
        <is>
          <t>Vendido</t>
        </is>
      </c>
      <c r="D16" s="4" t="inlineStr">
        <is>
          <t>6</t>
        </is>
      </c>
      <c r="E16" s="5" t="inlineStr">
        <is>
          <t>7.250,00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=HYPERLINK("https://rossileiloes.com.br/lote/detalhe/7328", "007")</f>
      </c>
      <c r="B17" s="4" t="s">
        <f>=HYPERLINK("https://rossileiloes.com.br/lote/detalhe/7328", " Gol 1.0Flex - Ano 2011/2012 - Cor Branca PLACA:  AUR-2958  CHASSI:  9BWAA05W5CP068522  LOCAL:  UJU Patrim.:30724")</f>
      </c>
      <c r="C17" s="4" t="inlineStr">
        <is>
          <t>Vendido</t>
        </is>
      </c>
      <c r="D17" s="4" t="inlineStr">
        <is>
          <t>4</t>
        </is>
      </c>
      <c r="E17" s="5" t="inlineStr">
        <is>
          <t>7.250,00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=HYPERLINK("https://rossileiloes.com.br/lote/detalhe/7332", "008")</f>
      </c>
      <c r="B18" s="4" t="s">
        <f>=HYPERLINK("https://rossileiloes.com.br/lote/detalhe/7332", " Gol 1.0Flex - Ano 2011/2012 - Cor Branca PLACA:  AUR-2949  CHASSI:  9BWAA05W1CP070347  LOCAL:  UJU Patrim.:30726")</f>
      </c>
      <c r="C18" s="4" t="inlineStr">
        <is>
          <t>Vendido</t>
        </is>
      </c>
      <c r="D18" s="4" t="inlineStr">
        <is>
          <t>8</t>
        </is>
      </c>
      <c r="E18" s="5" t="inlineStr">
        <is>
          <t>7.750,00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=HYPERLINK("https://rossileiloes.com.br/lote/detalhe/7329", "009")</f>
      </c>
      <c r="B19" s="4" t="s">
        <f>=HYPERLINK("https://rossileiloes.com.br/lote/detalhe/7329", " Gol 1.0Flex - Ano 2011/2012 - Cor Branca PLACA:  AUR-5412  CHASSI:  9BWAA05W3CP070737  LOCAL:  UJU Patrim.: 30731")</f>
      </c>
      <c r="C19" s="4" t="inlineStr">
        <is>
          <t>Vendido</t>
        </is>
      </c>
      <c r="D19" s="4" t="inlineStr">
        <is>
          <t>5</t>
        </is>
      </c>
      <c r="E19" s="5" t="inlineStr">
        <is>
          <t>7.000,00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=HYPERLINK("https://rossileiloes.com.br/lote/detalhe/7333", "010")</f>
      </c>
      <c r="B20" s="4" t="s">
        <f>=HYPERLINK("https://rossileiloes.com.br/lote/detalhe/7333", " Gol 1.0Flex - Ano 2011/2012 - Cor Branca PLACA:  AUR-8974 CHASSI:  9BWAA05W7CP069042  LOCAL:  UJU Patrim.:30737")</f>
      </c>
      <c r="C20" s="4" t="inlineStr">
        <is>
          <t>Vendido</t>
        </is>
      </c>
      <c r="D20" s="4" t="inlineStr">
        <is>
          <t>4</t>
        </is>
      </c>
      <c r="E20" s="5" t="inlineStr">
        <is>
          <t>6.750,00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=HYPERLINK("https://rossileiloes.com.br/lote/detalhe/7331", "011")</f>
      </c>
      <c r="B21" s="4" t="s">
        <f>=HYPERLINK("https://rossileiloes.com.br/lote/detalhe/7331", " Gol 1.0Flex - Ano 2011/2012 - Cor Branca PLACA:  AUR-8823  CHASSI:  9BWAA05W2CP069207  LOCAL:  UJU Patrim.:30740")</f>
      </c>
      <c r="C21" s="4" t="inlineStr">
        <is>
          <t>Vendido</t>
        </is>
      </c>
      <c r="D21" s="4" t="inlineStr">
        <is>
          <t>5</t>
        </is>
      </c>
      <c r="E21" s="5" t="inlineStr">
        <is>
          <t>7.100,00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=HYPERLINK("https://rossileiloes.com.br/lote/detalhe/7330", "012")</f>
      </c>
      <c r="B22" s="4" t="s">
        <f>=HYPERLINK("https://rossileiloes.com.br/lote/detalhe/7330", " Gol 1.0Flex - Ano 2011/2012 - Cor Branca PLACA:  AWC-2446  CHASSI:  9BWAA05W3DP083215  LOCAL:  UJU  Patrim.:30741")</f>
      </c>
      <c r="C22" s="4" t="inlineStr">
        <is>
          <t>Vendido</t>
        </is>
      </c>
      <c r="D22" s="4" t="inlineStr">
        <is>
          <t>5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=HYPERLINK("https://rossileiloes.com.br/lote/detalhe/7334", "013")</f>
      </c>
      <c r="B23" s="4" t="s">
        <f>=HYPERLINK("https://rossileiloes.com.br/lote/detalhe/7334", " Gol 1.0Flex - Ano 2012/2013 - Cor Branca - ACIDENTADO PLACA:  AWC-9882  CHASSI:  9BWAA05W4DP085054  LOCAL:  UJU  Patrim.: 30805")</f>
      </c>
      <c r="C23" s="4" t="inlineStr">
        <is>
          <t>Vendido</t>
        </is>
      </c>
      <c r="D23" s="4" t="inlineStr">
        <is>
          <t>11</t>
        </is>
      </c>
      <c r="E23" s="5" t="inlineStr">
        <is>
          <t>6.500,00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=HYPERLINK("https://rossileiloes.com.br/lote/detalhe/7337", "014")</f>
      </c>
      <c r="B24" s="4" t="s">
        <f>=HYPERLINK("https://rossileiloes.com.br/lote/detalhe/7337", " Gol 1.0Flex - Ano 2011/2012 - Cor Branca PLACA:  AUR-8830  CHASSI:  9BWAA05W3CP073332  LOCAL:  UJU Patrim.:30747")</f>
      </c>
      <c r="C24" s="4" t="inlineStr">
        <is>
          <t>Vendido</t>
        </is>
      </c>
      <c r="D24" s="4" t="inlineStr">
        <is>
          <t>8</t>
        </is>
      </c>
      <c r="E24" s="5" t="inlineStr">
        <is>
          <t>7.750,00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=HYPERLINK("https://rossileiloes.com.br/lote/detalhe/7589", "015")</f>
      </c>
      <c r="B25" s="4" t="s">
        <f>=HYPERLINK("https://rossileiloes.com.br/lote/detalhe/7589", "Gol 1.0Flex - Ano 2011/2012 - Cor Branca  - PLACA  AUR-8834  - CHASSI :  9BWAA05WXCP072596 - LOCAL: UJU Patrim.:30748")</f>
      </c>
      <c r="C25" s="4" t="inlineStr">
        <is>
          <t>Vendido</t>
        </is>
      </c>
      <c r="D25" s="4" t="inlineStr">
        <is>
          <t>8</t>
        </is>
      </c>
      <c r="E25" s="5" t="inlineStr">
        <is>
          <t>7.750,00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=HYPERLINK("https://rossileiloes.com.br/lote/detalhe/7338", "017")</f>
      </c>
      <c r="B26" s="4" t="s">
        <f>=HYPERLINK("https://rossileiloes.com.br/lote/detalhe/7338", " Gol 1.0Flex - Ano 2012/2013 - Cor Branca PLACA:  AWC-2446  CHASSI:  9BWAA05W3DP083215  LOCAL:  UJU  Patrim.:30783")</f>
      </c>
      <c r="C26" s="4" t="inlineStr">
        <is>
          <t>Vendido</t>
        </is>
      </c>
      <c r="D26" s="4" t="inlineStr">
        <is>
          <t>12</t>
        </is>
      </c>
      <c r="E26" s="5" t="inlineStr">
        <is>
          <t>8.750,00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=HYPERLINK("https://rossileiloes.com.br/lote/detalhe/7335", "018")</f>
      </c>
      <c r="B27" s="4" t="s">
        <f>=HYPERLINK("https://rossileiloes.com.br/lote/detalhe/7335", " Gol 1.0Flex - Ano 2012/2013 - Cor Branca PLACA: AWC-2443 CHASSI:  9BWAA05W9DP082750  LOCAL: UJU Patrim.: 30784")</f>
      </c>
      <c r="C27" s="4" t="inlineStr">
        <is>
          <t>Vendido</t>
        </is>
      </c>
      <c r="D27" s="4" t="inlineStr">
        <is>
          <t>5</t>
        </is>
      </c>
      <c r="E27" s="5" t="inlineStr">
        <is>
          <t>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=HYPERLINK("https://rossileiloes.com.br/lote/detalhe/7339", "019")</f>
      </c>
      <c r="B28" s="4" t="s">
        <f>=HYPERLINK("https://rossileiloes.com.br/lote/detalhe/7339", " Gol 1.0Flex - Ano 2012/2013 - Cor Branca PLACA:  AWC-9871  CHASSI:  9BWAA05W1DP085125  LOCAL:  UJU  Patrim.:30804")</f>
      </c>
      <c r="C28" s="4" t="inlineStr">
        <is>
          <t>Vendido</t>
        </is>
      </c>
      <c r="D28" s="4" t="inlineStr">
        <is>
          <t>4</t>
        </is>
      </c>
      <c r="E28" s="5" t="inlineStr">
        <is>
          <t>6.750,00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=HYPERLINK("https://rossileiloes.com.br/lote/detalhe/7336", "020")</f>
      </c>
      <c r="B29" s="4" t="s">
        <f>=HYPERLINK("https://rossileiloes.com.br/lote/detalhe/7336", " Gol 1.0Flex - Ano 2013/2014 - Cor Branca PLACA:  AXM-7367  CHASSI:  9BWAA05W9EP041746  LOCAL:  UJU Patrim.:30889")</f>
      </c>
      <c r="C29" s="4" t="inlineStr">
        <is>
          <t>Vendido</t>
        </is>
      </c>
      <c r="D29" s="4" t="inlineStr">
        <is>
          <t>9</t>
        </is>
      </c>
      <c r="E29" s="5" t="inlineStr">
        <is>
          <t>8.250,00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=HYPERLINK("https://rossileiloes.com.br/lote/detalhe/7340", "021")</f>
      </c>
      <c r="B30" s="4" t="s">
        <f>=HYPERLINK("https://rossileiloes.com.br/lote/detalhe/7340", " Gol 1.0Flex - Ano 2013/2014 - Cor Branca PLACA:  AXM-7370  CHASSI:  PBWAA05W2EP042673  LOCAL:  UJU Patrim.:30893")</f>
      </c>
      <c r="C30" s="4" t="inlineStr">
        <is>
          <t>Vendido</t>
        </is>
      </c>
      <c r="D30" s="4" t="inlineStr">
        <is>
          <t>5</t>
        </is>
      </c>
      <c r="E30" s="5" t="inlineStr">
        <is>
          <t>7.250,00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=HYPERLINK("https://rossileiloes.com.br/lote/detalhe/7343", "022")</f>
      </c>
      <c r="B31" s="4" t="s">
        <f>=HYPERLINK("https://rossileiloes.com.br/lote/detalhe/7343", " Gol 1.0Flex - Ano 2013/2014 - Cor Branca PLACA:  AXN-1321  CHASSI:  9BWAA05W2EP043807  LOCAL:  UJU Patrim.:30898")</f>
      </c>
      <c r="C31" s="4" t="inlineStr">
        <is>
          <t>Vendido</t>
        </is>
      </c>
      <c r="D31" s="4" t="inlineStr">
        <is>
          <t>6</t>
        </is>
      </c>
      <c r="E31" s="5" t="inlineStr">
        <is>
          <t>7.500,00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=HYPERLINK("https://rossileiloes.com.br/lote/detalhe/7341", "023")</f>
      </c>
      <c r="B32" s="4" t="s">
        <f>=HYPERLINK("https://rossileiloes.com.br/lote/detalhe/7341", " Gol 1.0Flex - Ano 2013/2014 - Cor Branca PLACA:  AXN-1373  CHASSI:  9BWAA05W3EP044058  LOCAL:  UJU Patrim.:30904")</f>
      </c>
      <c r="C32" s="4" t="inlineStr">
        <is>
          <t>Vendido</t>
        </is>
      </c>
      <c r="D32" s="4" t="inlineStr">
        <is>
          <t>6</t>
        </is>
      </c>
      <c r="E32" s="5" t="inlineStr">
        <is>
          <t>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=HYPERLINK("https://rossileiloes.com.br/lote/detalhe/7344", "024")</f>
      </c>
      <c r="B33" s="4" t="s">
        <f>=HYPERLINK("https://rossileiloes.com.br/lote/detalhe/7344", " Gol 1.0Flex - Ano 2013/2014 - Cor Branca PLACA:  AXN-1382  CHASSI:  9BWAA05W2EP043628  LOCAL:  UJU Patrim.:30905")</f>
      </c>
      <c r="C33" s="4" t="inlineStr">
        <is>
          <t>Vendido</t>
        </is>
      </c>
      <c r="D33" s="4" t="inlineStr">
        <is>
          <t>10</t>
        </is>
      </c>
      <c r="E33" s="5" t="inlineStr">
        <is>
          <t>8.250,00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=HYPERLINK("https://rossileiloes.com.br/lote/detalhe/7346", "025")</f>
      </c>
      <c r="B34" s="4" t="s">
        <f>=HYPERLINK("https://rossileiloes.com.br/lote/detalhe/7346", " Gol 1.0Flex - Ano 2013/2014 - Cor Branca PLACA:  AXM-2789  CHASSI:  9BWAA05W3EP043136  LOCAL:  UJU Patrim.:30915")</f>
      </c>
      <c r="C34" s="4" t="inlineStr">
        <is>
          <t>Vendido</t>
        </is>
      </c>
      <c r="D34" s="4" t="inlineStr">
        <is>
          <t>9</t>
        </is>
      </c>
      <c r="E34" s="5" t="inlineStr">
        <is>
          <t>8.000,00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=HYPERLINK("https://rossileiloes.com.br/lote/detalhe/7342", "026")</f>
      </c>
      <c r="B35" s="4" t="s">
        <f>=HYPERLINK("https://rossileiloes.com.br/lote/detalhe/7342", " Gol 1.0 GIV - Cor Branco Ano 2013/2014 - ACIDENTADO PLACA: AXM-2784 CHASSI: 9BWAA05W2EP043483 LOCAL: UJU Patrim.:30921")</f>
      </c>
      <c r="C35" s="4" t="inlineStr">
        <is>
          <t>Vendido</t>
        </is>
      </c>
      <c r="D35" s="4" t="inlineStr">
        <is>
          <t>8</t>
        </is>
      </c>
      <c r="E35" s="5" t="inlineStr">
        <is>
          <t>4.750,00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=HYPERLINK("https://rossileiloes.com.br/lote/detalhe/7345", "027")</f>
      </c>
      <c r="B36" s="4" t="s">
        <f>=HYPERLINK("https://rossileiloes.com.br/lote/detalhe/7345", " Gol 1.0Flex - Ano 2013/2014 - Cor Branca PLACA:  FHY-2092  CHASSI:  9BWAA05W9EP046462  LOCAL:  UJU Patrim.:30929")</f>
      </c>
      <c r="C36" s="4" t="inlineStr">
        <is>
          <t>Vendido</t>
        </is>
      </c>
      <c r="D36" s="4" t="inlineStr">
        <is>
          <t>6</t>
        </is>
      </c>
      <c r="E36" s="5" t="inlineStr">
        <is>
          <t>7.250,00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=HYPERLINK("https://rossileiloes.com.br/lote/detalhe/7347", "028")</f>
      </c>
      <c r="B37" s="4" t="s">
        <f>=HYPERLINK("https://rossileiloes.com.br/lote/detalhe/7347", " Gol 1.0Flex - Ano 2013/2014 - Cor Branca PLACA:  FHY-2071  CHASSI:  9BWAA05WXEP047426  LOCAL:  UJU Patrim.: 30934")</f>
      </c>
      <c r="C37" s="4" t="inlineStr">
        <is>
          <t>Vendido</t>
        </is>
      </c>
      <c r="D37" s="4" t="inlineStr">
        <is>
          <t>9</t>
        </is>
      </c>
      <c r="E37" s="5" t="inlineStr">
        <is>
          <t>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=HYPERLINK("https://rossileiloes.com.br/lote/detalhe/7348", "029")</f>
      </c>
      <c r="B38" s="4" t="s">
        <f>=HYPERLINK("https://rossileiloes.com.br/lote/detalhe/7348", " Gol 1.0Flex - Ano 2014/2015 - Cor Branca PLACA:  FCG-7169  CHASSI:  9BWAA45U1FP546896  LOCAL:  UJU Patrim.:30994")</f>
      </c>
      <c r="C38" s="4" t="inlineStr">
        <is>
          <t>Vendido</t>
        </is>
      </c>
      <c r="D38" s="4" t="inlineStr">
        <is>
          <t>19</t>
        </is>
      </c>
      <c r="E38" s="5" t="inlineStr">
        <is>
          <t>14.250,00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=HYPERLINK("https://rossileiloes.com.br/lote/detalhe/7349", "030")</f>
      </c>
      <c r="B39" s="4" t="s">
        <f>=HYPERLINK("https://rossileiloes.com.br/lote/detalhe/7349", " Gol 1.0Flex - Ano 2011/2012 - Cor Branca PLACA:  ERE-0802  CHASSI:  9BWAA05W0CP070923  LOCAL:  UJU Patrim.:31080")</f>
      </c>
      <c r="C39" s="4" t="inlineStr">
        <is>
          <t>Vendido</t>
        </is>
      </c>
      <c r="D39" s="4" t="inlineStr">
        <is>
          <t>7</t>
        </is>
      </c>
      <c r="E39" s="5" t="inlineStr">
        <is>
          <t>7.500,00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=HYPERLINK("https://rossileiloes.com.br/lote/detalhe/7350", "031")</f>
      </c>
      <c r="B40" s="4" t="s">
        <f>=HYPERLINK("https://rossileiloes.com.br/lote/detalhe/7350", " Gol 1.0Flex - Ano 2011 - Cor Branca PLACA:  ERE-1063  CHASSI:  9BWAA05W2CP072012  LOCAL:  UJU Patrim.:31081")</f>
      </c>
      <c r="C40" s="4" t="inlineStr">
        <is>
          <t>Vendido</t>
        </is>
      </c>
      <c r="D40" s="4" t="inlineStr">
        <is>
          <t>3</t>
        </is>
      </c>
      <c r="E40" s="5" t="inlineStr">
        <is>
          <t>6.500,00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=HYPERLINK("https://rossileiloes.com.br/lote/detalhe/7351", "032")</f>
      </c>
      <c r="B41" s="4" t="s">
        <f>=HYPERLINK("https://rossileiloes.com.br/lote/detalhe/7351", " Gol 1.0Flex - Ano 2012/2013 - Cor Branca PLACA:  FEC-7504  CHASSI:  9BWAA05W8DP084456  LOCAL:  UJU Patrim.:31086")</f>
      </c>
      <c r="C41" s="4" t="inlineStr">
        <is>
          <t>Vendido</t>
        </is>
      </c>
      <c r="D41" s="4" t="inlineStr">
        <is>
          <t>5</t>
        </is>
      </c>
      <c r="E41" s="5" t="inlineStr">
        <is>
          <t>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=HYPERLINK("https://rossileiloes.com.br/lote/detalhe/7354", "033")</f>
      </c>
      <c r="B42" s="4" t="s">
        <f>=HYPERLINK("https://rossileiloes.com.br/lote/detalhe/7354", " Gol 1.0Flex - Ano 2012/2013 - Cor Branca PLACA:  FEC-7503  CHASSI:  9BWAA05W2DP082668  LOCAL:  UJU Patrim.:31087")</f>
      </c>
      <c r="C42" s="4" t="inlineStr">
        <is>
          <t>Vendido</t>
        </is>
      </c>
      <c r="D42" s="4" t="inlineStr">
        <is>
          <t>3</t>
        </is>
      </c>
      <c r="E42" s="5" t="inlineStr">
        <is>
          <t>6.500,00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=HYPERLINK("https://rossileiloes.com.br/lote/detalhe/7352", "034")</f>
      </c>
      <c r="B43" s="4" t="s">
        <f>=HYPERLINK("https://rossileiloes.com.br/lote/detalhe/7352", " Gol 1.0Flex - Ano 2012/2013 - Cor Branca PLACA:  FEC-7551  CHASSI:  9BWAA05W4DP083319  LOCAL:  UJU Patrim.:31090")</f>
      </c>
      <c r="C43" s="4" t="inlineStr">
        <is>
          <t>Vendido</t>
        </is>
      </c>
      <c r="D43" s="4" t="inlineStr">
        <is>
          <t>3</t>
        </is>
      </c>
      <c r="E43" s="5" t="inlineStr">
        <is>
          <t>6.500,00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=HYPERLINK("https://rossileiloes.com.br/lote/detalhe/7355", "035")</f>
      </c>
      <c r="B44" s="4" t="s">
        <f>=HYPERLINK("https://rossileiloes.com.br/lote/detalhe/7355", " Gol 1.0Flex - Ano 2013/2014 - Cor Branca PLACA:  AXL-9690  CHASSI:  9BWAA05W2EP043855  LOCAL:  UJU Patrim,:31094")</f>
      </c>
      <c r="C44" s="4" t="inlineStr">
        <is>
          <t>Vendido</t>
        </is>
      </c>
      <c r="D44" s="4" t="inlineStr">
        <is>
          <t>8</t>
        </is>
      </c>
      <c r="E44" s="5" t="inlineStr">
        <is>
          <t>8.000,00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=HYPERLINK("https://rossileiloes.com.br/lote/detalhe/7590", "036")</f>
      </c>
      <c r="B45" s="4" t="s">
        <f>=HYPERLINK("https://rossileiloes.com.br/lote/detalhe/7590", "Gol 1.0Flex - Ano 2013/2014 - Cor Branca - PLACA:  AXM-2790 - CHASSI:  9BWAA05W4EP043467 - LOCAL: UJU Patrim.:31132")</f>
      </c>
      <c r="C45" s="4" t="inlineStr">
        <is>
          <t>Vendido</t>
        </is>
      </c>
      <c r="D45" s="4" t="inlineStr">
        <is>
          <t>8</t>
        </is>
      </c>
      <c r="E45" s="5" t="inlineStr">
        <is>
          <t>7.750,00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=HYPERLINK("https://rossileiloes.com.br/lote/detalhe/7353", "037")</f>
      </c>
      <c r="B46" s="4" t="s">
        <f>=HYPERLINK("https://rossileiloes.com.br/lote/detalhe/7353", " Kombi Flex - Ano 2011/2012 Cor Branca - MOTOR FUNDIDO PLACA:  AUQ-7562  CHASSI:  9BWMF07X5CP014464  LOCAL:  UJU Patrim.:31078")</f>
      </c>
      <c r="C46" s="4" t="inlineStr">
        <is>
          <t>Vendido</t>
        </is>
      </c>
      <c r="D46" s="4" t="inlineStr">
        <is>
          <t>17</t>
        </is>
      </c>
      <c r="E46" s="5" t="inlineStr">
        <is>
          <t>11.000,00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=HYPERLINK("https://rossileiloes.com.br/lote/detalhe/7356", "038")</f>
      </c>
      <c r="B47" s="4" t="s">
        <f>=HYPERLINK("https://rossileiloes.com.br/lote/detalhe/7356", " StradaF - Ano 2009/2010 - Cor Branca PLACA:  ENM-0681  CHASSI:  9BD27803MA7210822  LOCAL:  UJU   Patrim.:  30593")</f>
      </c>
      <c r="C47" s="4" t="inlineStr">
        <is>
          <t>Vendido</t>
        </is>
      </c>
      <c r="D47" s="4" t="inlineStr">
        <is>
          <t>13</t>
        </is>
      </c>
      <c r="E47" s="5" t="inlineStr">
        <is>
          <t>10.500,00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=HYPERLINK("https://rossileiloes.com.br/lote/detalhe/7357", "039")</f>
      </c>
      <c r="B48" s="4" t="s">
        <f>=HYPERLINK("https://rossileiloes.com.br/lote/detalhe/7357", " StradaF - Ano 2009/2010 - Cor Branca - C/Capota S/Partr. PLACA:  ENM-0904  CHASSI:  9BD27803MA7211814  LOCAL:  UJU   Patrim.:  30595")</f>
      </c>
      <c r="C48" s="4" t="inlineStr">
        <is>
          <t>Vendido</t>
        </is>
      </c>
      <c r="D48" s="4" t="inlineStr">
        <is>
          <t>12</t>
        </is>
      </c>
      <c r="E48" s="5" t="inlineStr">
        <is>
          <t>12.750,00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=HYPERLINK("https://rossileiloes.com.br/lote/detalhe/7359", "040")</f>
      </c>
      <c r="B49" s="4" t="s">
        <f>=HYPERLINK("https://rossileiloes.com.br/lote/detalhe/7359", " StradaF - Ano 2011/2012 - Cor Branca PLACA:  AUO-9965  CHASSI:  9BD27803MC7460547  LOCAL:  UJU  Patrim.:  30678")</f>
      </c>
      <c r="C49" s="4" t="inlineStr">
        <is>
          <t>Vendido</t>
        </is>
      </c>
      <c r="D49" s="4" t="inlineStr">
        <is>
          <t>13</t>
        </is>
      </c>
      <c r="E49" s="5" t="inlineStr">
        <is>
          <t>11.500,00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=HYPERLINK("https://rossileiloes.com.br/lote/detalhe/7358", "041")</f>
      </c>
      <c r="B50" s="4" t="s">
        <f>=HYPERLINK("https://rossileiloes.com.br/lote/detalhe/7358", " StradaF - Ano 2011/2012 - Cor Branca PLACA:  ERE-0522  CHASSI:  9BD27803MC7464216  LOCAL:  UJU  Patrim.:  30714")</f>
      </c>
      <c r="C50" s="4" t="inlineStr">
        <is>
          <t>Vendido</t>
        </is>
      </c>
      <c r="D50" s="4" t="inlineStr">
        <is>
          <t>18</t>
        </is>
      </c>
      <c r="E50" s="5" t="inlineStr">
        <is>
          <t>14.000,00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=HYPERLINK("https://rossileiloes.com.br/lote/detalhe/7361", "042")</f>
      </c>
      <c r="B51" s="4" t="s">
        <f>=HYPERLINK("https://rossileiloes.com.br/lote/detalhe/7361", " StradaF - Ano 2012/2013 - Cor Branca - C/Capota S/Partr. PLACA:  AWG-8170  CHASSI:  9BD27805MD7607344  LOCAL:  UJU   Patrim.:  30824")</f>
      </c>
      <c r="C51" s="4" t="inlineStr">
        <is>
          <t>Vendido</t>
        </is>
      </c>
      <c r="D51" s="4" t="inlineStr">
        <is>
          <t>11</t>
        </is>
      </c>
      <c r="E51" s="5" t="inlineStr">
        <is>
          <t>13.250,00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=HYPERLINK("https://rossileiloes.com.br/lote/detalhe/7360", "043")</f>
      </c>
      <c r="B52" s="4" t="s">
        <f>=HYPERLINK("https://rossileiloes.com.br/lote/detalhe/7360", " StradaF - Ano 2012/2013 - Cor Branca  PLACA:  AWG-7442  CHASSI:  9BD27805MD7609250  LOCAL:  UJU  Patrim.:  30826")</f>
      </c>
      <c r="C52" s="4" t="inlineStr">
        <is>
          <t>Vendido</t>
        </is>
      </c>
      <c r="D52" s="4" t="inlineStr">
        <is>
          <t>16</t>
        </is>
      </c>
      <c r="E52" s="5" t="inlineStr">
        <is>
          <t>12.750,00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=HYPERLINK("https://rossileiloes.com.br/lote/detalhe/7362", "044")</f>
      </c>
      <c r="B53" s="4" t="s">
        <f>=HYPERLINK("https://rossileiloes.com.br/lote/detalhe/7362", " StradaF - Ano 2012/2013 - Cor Branca PLACA:  AWG-8166  CHASSI:  9BD27805MD7607543  LOCAL:  UJU  Patrim.:  30828")</f>
      </c>
      <c r="C53" s="4" t="inlineStr">
        <is>
          <t>Vendido</t>
        </is>
      </c>
      <c r="D53" s="4" t="inlineStr">
        <is>
          <t>10</t>
        </is>
      </c>
      <c r="E53" s="5" t="inlineStr">
        <is>
          <t>12.000,00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=HYPERLINK("https://rossileiloes.com.br/lote/detalhe/7363", "045")</f>
      </c>
      <c r="B54" s="4" t="s">
        <f>=HYPERLINK("https://rossileiloes.com.br/lote/detalhe/7363", " StradaF - Ano 2012/2013 - Cor Branca PLACA:  AWG-8172  CHASSI:  9BD27805MD7607507  LOCAL:  UJU  Patrim.:  30829")</f>
      </c>
      <c r="C54" s="4" t="inlineStr">
        <is>
          <t>Vendido</t>
        </is>
      </c>
      <c r="D54" s="4" t="inlineStr">
        <is>
          <t>6</t>
        </is>
      </c>
      <c r="E54" s="5" t="inlineStr">
        <is>
          <t>12.500,00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=HYPERLINK("https://rossileiloes.com.br/lote/detalhe/7364", "046")</f>
      </c>
      <c r="B55" s="4" t="s">
        <f>=HYPERLINK("https://rossileiloes.com.br/lote/detalhe/7364", " StradaF - Ano 2012/2013 - Cor Branca PLACA:  AWI-6317  CHASSI:  9BD27805MD7609404  LOCAL:  UJU  Patrim.:  30834")</f>
      </c>
      <c r="C55" s="4" t="inlineStr">
        <is>
          <t>Vendido</t>
        </is>
      </c>
      <c r="D55" s="4" t="inlineStr">
        <is>
          <t>14</t>
        </is>
      </c>
      <c r="E55" s="5" t="inlineStr">
        <is>
          <t>13.000,00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=HYPERLINK("https://rossileiloes.com.br/lote/detalhe/7365", "047")</f>
      </c>
      <c r="B56" s="4" t="s">
        <f>=HYPERLINK("https://rossileiloes.com.br/lote/detalhe/7365", " StradaF - Ano 2012/2013 - Cor Branca PLACA:  AWI-6286  CHASSI:  9BD27805MD7608471  LOCAL:  UJU  Patrim.:  30837")</f>
      </c>
      <c r="C56" s="4" t="inlineStr">
        <is>
          <t>Vendido</t>
        </is>
      </c>
      <c r="D56" s="4" t="inlineStr">
        <is>
          <t>14</t>
        </is>
      </c>
      <c r="E56" s="5" t="inlineStr">
        <is>
          <t>12.750,00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=HYPERLINK("https://rossileiloes.com.br/lote/detalhe/7366", "048")</f>
      </c>
      <c r="B57" s="4" t="s">
        <f>=HYPERLINK("https://rossileiloes.com.br/lote/detalhe/7366", " StradaF - Ano 2012/2013 - Cor Branca PLACA:  AWL-1098  CHASSI:  9BD27805MD7613911  LOCAL:  UJU  Patrim.:  30840")</f>
      </c>
      <c r="C57" s="4" t="inlineStr">
        <is>
          <t>Vendido</t>
        </is>
      </c>
      <c r="D57" s="4" t="inlineStr">
        <is>
          <t>20</t>
        </is>
      </c>
      <c r="E57" s="5" t="inlineStr">
        <is>
          <t>13.500,00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=HYPERLINK("https://rossileiloes.com.br/lote/detalhe/7370", "049")</f>
      </c>
      <c r="B58" s="4" t="s">
        <f>=HYPERLINK("https://rossileiloes.com.br/lote/detalhe/7370", " StradaF - Ano 2012/2013 - Cor Branca PLACA:  FHL-0592  CHASSI:  9BD27805MD7613030  LOCAL:  UJU   Patrim.:  30841")</f>
      </c>
      <c r="C58" s="4" t="inlineStr">
        <is>
          <t>Vendido</t>
        </is>
      </c>
      <c r="D58" s="4" t="inlineStr">
        <is>
          <t>21</t>
        </is>
      </c>
      <c r="E58" s="5" t="inlineStr">
        <is>
          <t>14.000,00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=HYPERLINK("https://rossileiloes.com.br/lote/detalhe/7367", "050")</f>
      </c>
      <c r="B59" s="4" t="s">
        <f>=HYPERLINK("https://rossileiloes.com.br/lote/detalhe/7367", " StradaF - Ano 2012/2013 - Cor Branca PLACA:  AWL-1126  CHASSI:  9BD27805MD7617766  LOCAL:  UJU  Patrim.:  30845")</f>
      </c>
      <c r="C59" s="4" t="inlineStr">
        <is>
          <t>Vendido</t>
        </is>
      </c>
      <c r="D59" s="4" t="inlineStr">
        <is>
          <t>19</t>
        </is>
      </c>
      <c r="E59" s="5" t="inlineStr">
        <is>
          <t>13.000,00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=HYPERLINK("https://rossileiloes.com.br/lote/detalhe/7369", "051")</f>
      </c>
      <c r="B60" s="4" t="s">
        <f>=HYPERLINK("https://rossileiloes.com.br/lote/detalhe/7369", " StradaF - Ano 2012/2013 - Cor Branca PLACA:  FHL-0913  CHASSI:  9BD27805MD7612957  LOCAL:  UJU   Patrim.:  30848")</f>
      </c>
      <c r="C60" s="4" t="inlineStr">
        <is>
          <t>Vendido</t>
        </is>
      </c>
      <c r="D60" s="4" t="inlineStr">
        <is>
          <t>21</t>
        </is>
      </c>
      <c r="E60" s="5" t="inlineStr">
        <is>
          <t>14.000,00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=HYPERLINK("https://rossileiloes.com.br/lote/detalhe/7368", "052")</f>
      </c>
      <c r="B61" s="4" t="s">
        <f>=HYPERLINK("https://rossileiloes.com.br/lote/detalhe/7368", " StradaF - Ano 2012/2013 - Cor Branca - CAMBIO QUEBRADO PLACA:  AWL-1121  CHASSI:  9BD27805MD7620656  LOCAL:  UJU  Patrim.:  30853")</f>
      </c>
      <c r="C61" s="4" t="inlineStr">
        <is>
          <t>Vendido</t>
        </is>
      </c>
      <c r="D61" s="4" t="inlineStr">
        <is>
          <t>27</t>
        </is>
      </c>
      <c r="E61" s="5" t="inlineStr">
        <is>
          <t>13.500,00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=HYPERLINK("https://rossileiloes.com.br/lote/detalhe/7371", "053")</f>
      </c>
      <c r="B62" s="4" t="s">
        <f>=HYPERLINK("https://rossileiloes.com.br/lote/detalhe/7371", " StradaF - Ano 2012/2013 - Cor Branca - CAMBIO QUEBRADO PLACA:  AWL-1130  CHASSI:  9BD27805MD7621608  LOCAL:  UJU   Patrim.:  30854")</f>
      </c>
      <c r="C62" s="4" t="inlineStr">
        <is>
          <t>Vendido</t>
        </is>
      </c>
      <c r="D62" s="4" t="inlineStr">
        <is>
          <t>27</t>
        </is>
      </c>
      <c r="E62" s="5" t="inlineStr">
        <is>
          <t>13.750,00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=HYPERLINK("https://rossileiloes.com.br/lote/detalhe/7372", "054")</f>
      </c>
      <c r="B63" s="4" t="s">
        <f>=HYPERLINK("https://rossileiloes.com.br/lote/detalhe/7372", " StradaF - Ano 2013 - Cor Branca PLACA:  AXL-9876  CHASSI:  9BD27805MD7725340  LOCAL:  UJU   Patrim.:  30869")</f>
      </c>
      <c r="C63" s="4" t="inlineStr">
        <is>
          <t>Vendido</t>
        </is>
      </c>
      <c r="D63" s="4" t="inlineStr">
        <is>
          <t>25</t>
        </is>
      </c>
      <c r="E63" s="5" t="inlineStr">
        <is>
          <t>14.500,00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=HYPERLINK("https://rossileiloes.com.br/lote/detalhe/7376", "055")</f>
      </c>
      <c r="B64" s="4" t="s">
        <f>=HYPERLINK("https://rossileiloes.com.br/lote/detalhe/7376", " StradaF - Ano 2013 - Cor Branca PLACA:  AXL-9882  CHASSI:  9BD27805MD7725875  LOCAL:  UJU   Patrim.:  30870")</f>
      </c>
      <c r="C64" s="4" t="inlineStr">
        <is>
          <t>Vendido</t>
        </is>
      </c>
      <c r="D64" s="4" t="inlineStr">
        <is>
          <t>28</t>
        </is>
      </c>
      <c r="E64" s="5" t="inlineStr">
        <is>
          <t>15.250,00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=HYPERLINK("https://rossileiloes.com.br/lote/detalhe/7373", "056")</f>
      </c>
      <c r="B65" s="4" t="s">
        <f>=HYPERLINK("https://rossileiloes.com.br/lote/detalhe/7373", " StradaF - Ano 2013 - Cor Branca PLACA:  AXL-9866  CHASSI:  9BD27805MD7725183  LOCAL:  UJU   Patrim.:  30871")</f>
      </c>
      <c r="C65" s="4" t="inlineStr">
        <is>
          <t>Vendido</t>
        </is>
      </c>
      <c r="D65" s="4" t="inlineStr">
        <is>
          <t>23</t>
        </is>
      </c>
      <c r="E65" s="5" t="inlineStr">
        <is>
          <t>14.000,00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=HYPERLINK("https://rossileiloes.com.br/lote/detalhe/7375", "057")</f>
      </c>
      <c r="B66" s="4" t="s">
        <f>=HYPERLINK("https://rossileiloes.com.br/lote/detalhe/7375", " StradaF - Ano 2013 - Cor Branca PLACA:  AXL-9066  CHASSI:  9BD27805MD7724810  LOCAL:  UJU  Patrim.:  30872")</f>
      </c>
      <c r="C66" s="4" t="inlineStr">
        <is>
          <t>Vendido</t>
        </is>
      </c>
      <c r="D66" s="4" t="inlineStr">
        <is>
          <t>26</t>
        </is>
      </c>
      <c r="E66" s="5" t="inlineStr">
        <is>
          <t>14.750,00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=HYPERLINK("https://rossileiloes.com.br/lote/detalhe/7374", "058")</f>
      </c>
      <c r="B67" s="4" t="s">
        <f>=HYPERLINK("https://rossileiloes.com.br/lote/detalhe/7374", " StradaF - Ano 2013 - Cor Branca PLACA:  AXL-9071  CHASSI:  9BD27805MD7725363  LOCAL:  UJU  Patrim.:  30874")</f>
      </c>
      <c r="C67" s="4" t="inlineStr">
        <is>
          <t>Vendido</t>
        </is>
      </c>
      <c r="D67" s="4" t="inlineStr">
        <is>
          <t>29</t>
        </is>
      </c>
      <c r="E67" s="5" t="inlineStr">
        <is>
          <t>15.500,00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=HYPERLINK("https://rossileiloes.com.br/lote/detalhe/7377", "059")</f>
      </c>
      <c r="B68" s="4" t="s">
        <f>=HYPERLINK("https://rossileiloes.com.br/lote/detalhe/7377", " StradaF - Ano 2013 - Cor Branca PLACA:  FLH-1932  CHASSI:  9BD27805MD7724632  LOCAL:  UJU   Patrim.:  30880")</f>
      </c>
      <c r="C68" s="4" t="inlineStr">
        <is>
          <t>Vendido</t>
        </is>
      </c>
      <c r="D68" s="4" t="inlineStr">
        <is>
          <t>34</t>
        </is>
      </c>
      <c r="E68" s="5" t="inlineStr">
        <is>
          <t>16.750,00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=HYPERLINK("https://rossileiloes.com.br/lote/detalhe/7378", "060")</f>
      </c>
      <c r="B69" s="4" t="s">
        <f>=HYPERLINK("https://rossileiloes.com.br/lote/detalhe/7378", " StradaF - Ano 2013 - Cor Branca PLACA:  AXN-7235  CHASSI:  9BD27805MD7721362  LOCAL:  UJU  Patrim.:  30894")</f>
      </c>
      <c r="C69" s="4" t="inlineStr">
        <is>
          <t>Vendido</t>
        </is>
      </c>
      <c r="D69" s="4" t="inlineStr">
        <is>
          <t>34</t>
        </is>
      </c>
      <c r="E69" s="5" t="inlineStr">
        <is>
          <t>16.750,00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=HYPERLINK("https://rossileiloes.com.br/lote/detalhe/7379", "061")</f>
      </c>
      <c r="B70" s="4" t="s">
        <f>=HYPERLINK("https://rossileiloes.com.br/lote/detalhe/7379", " StradaF - Ano 2011/2012 - Cor Branca  PLACA:  AUR-0587  CHASSI:  9BD27803MC7460331  LOCAL:  UJU   Patrim.:  31077")</f>
      </c>
      <c r="C70" s="4" t="inlineStr">
        <is>
          <t>Vendido</t>
        </is>
      </c>
      <c r="D70" s="4" t="inlineStr">
        <is>
          <t>21</t>
        </is>
      </c>
      <c r="E70" s="5" t="inlineStr">
        <is>
          <t>13.500,00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=HYPERLINK("https://rossileiloes.com.br/lote/detalhe/7382", "062")</f>
      </c>
      <c r="B71" s="4" t="s">
        <f>=HYPERLINK("https://rossileiloes.com.br/lote/detalhe/7382", " StradaF - Ano 2012/2013 Cor Branca - ACIDENTADA S/CAMBIO PLACA:  AWK-7745  CHASSI:  9BD27805MD7609125  LOCAL:  UJU  Patrim.:  31093 ")</f>
      </c>
      <c r="C71" s="4" t="inlineStr">
        <is>
          <t>Vendido</t>
        </is>
      </c>
      <c r="D71" s="4" t="inlineStr">
        <is>
          <t>7</t>
        </is>
      </c>
      <c r="E71" s="5" t="inlineStr">
        <is>
          <t>4.500,00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=HYPERLINK("https://rossileiloes.com.br/lote/detalhe/7380", "063")</f>
      </c>
      <c r="B72" s="4" t="s">
        <f>=HYPERLINK("https://rossileiloes.com.br/lote/detalhe/7380", " StradaF - Ano 2014/2015 Cor Branca - ACIDENTADA PLACA:  AZC-5723  CHASSI:  9BD578141F7912187  LOCAL:  UJU   Patrim.:  31101")</f>
      </c>
      <c r="C72" s="4" t="inlineStr">
        <is>
          <t>Vendido</t>
        </is>
      </c>
      <c r="D72" s="4" t="inlineStr">
        <is>
          <t>15</t>
        </is>
      </c>
      <c r="E72" s="5" t="inlineStr">
        <is>
          <t>7.750,00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=HYPERLINK("https://rossileiloes.com.br/lote/detalhe/7381", "064")</f>
      </c>
      <c r="B73" s="4" t="s">
        <f>=HYPERLINK("https://rossileiloes.com.br/lote/detalhe/7381", " Mille - Ano 2009/2010 Cor Branca PLACA:  ARY-3346  CHASSI:  9BD15802AA6381660  LOCAL:  UJU  Patrim.:  30579")</f>
      </c>
      <c r="C73" s="4" t="inlineStr">
        <is>
          <t>Vendido</t>
        </is>
      </c>
      <c r="D73" s="4" t="inlineStr">
        <is>
          <t>11</t>
        </is>
      </c>
      <c r="E73" s="5" t="inlineStr">
        <is>
          <t>8.000,00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=HYPERLINK("https://rossileiloes.com.br/lote/detalhe/7383", "065")</f>
      </c>
      <c r="B74" s="4" t="s">
        <f>=HYPERLINK("https://rossileiloes.com.br/lote/detalhe/7383", " Moto Honda XRE300 - Ano 2013   2 PNEUS NOVOS SOBRES SALENTES PLACA:  AXM-4146  CHASSI:  9C2ND1110DR021804   LOCAL:  UJU   Patrim.:  30867")</f>
      </c>
      <c r="C74" s="4" t="inlineStr">
        <is>
          <t>Não vendido</t>
        </is>
      </c>
      <c r="D74" s="4" t="inlineStr">
        <is>
          <t>13</t>
        </is>
      </c>
      <c r="E74" s="5" t="inlineStr">
        <is>
          <t>8.500,00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=HYPERLINK("https://rossileiloes.com.br/lote/detalhe/7591", "066")</f>
      </c>
      <c r="B75" s="4" t="s">
        <f>=HYPERLINK("https://rossileiloes.com.br/lote/detalhe/7591", "Cam. MBB 712 - C - Ano1999 - Cor Vermelha Com Carroceira Boiadeiro  Patr. 40571 - PLACA: AJA-7239 - CHASSI:  9BM688255XB213789 - LOCAL: UJU  Patrim.:  10226")</f>
      </c>
      <c r="C75" s="4" t="inlineStr">
        <is>
          <t>Vendido</t>
        </is>
      </c>
      <c r="D75" s="4" t="inlineStr">
        <is>
          <t>54</t>
        </is>
      </c>
      <c r="E75" s="5" t="inlineStr">
        <is>
          <t>40.500,00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=HYPERLINK("https://rossileiloes.com.br/lote/detalhe/7384", "072")</f>
      </c>
      <c r="B76" s="4" t="s">
        <f>=HYPERLINK("https://rossileiloes.com.br/lote/detalhe/7384", " Cam. MBB 2638 6x4 - Ano 2000 Cor Branco - no chasis Plataforma.Motor Fundido. PLACA:  AJQ-3732  CHASSI:  9BM696365YB252433  LOCAL:  UJU  Patrim.:  10265 ")</f>
      </c>
      <c r="C76" s="4" t="inlineStr">
        <is>
          <t>Vendido</t>
        </is>
      </c>
      <c r="D76" s="4" t="inlineStr">
        <is>
          <t>52</t>
        </is>
      </c>
      <c r="E76" s="5" t="inlineStr">
        <is>
          <t>39.500,00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=HYPERLINK("https://rossileiloes.com.br/lote/detalhe/7592", "073")</f>
      </c>
      <c r="B77" s="4" t="s">
        <f>=HYPERLINK("https://rossileiloes.com.br/lote/detalhe/7592", "Cam. MBB 2423 K - Ano2001 - Cor Branca - no Chassis Plataforma - PLACA:  CYU-5291 - CHASSI: 9BM69338618290100  - LOCAL:UJU  Patrim.:  10268")</f>
      </c>
      <c r="C77" s="4" t="inlineStr">
        <is>
          <t>Vendido</t>
        </is>
      </c>
      <c r="D77" s="4" t="inlineStr">
        <is>
          <t>63</t>
        </is>
      </c>
      <c r="E77" s="5" t="inlineStr">
        <is>
          <t>47.000,00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=HYPERLINK("https://rossileiloes.com.br/lote/detalhe/7388", "084")</f>
      </c>
      <c r="B78" s="4" t="s">
        <f>=HYPERLINK("https://rossileiloes.com.br/lote/detalhe/7388", " Cam. MBB 710 - Ano 2003 - Cor Branco  - Com Carroceria Fechada (Bau) - Patr. 40363 PLACA:  ALK-2464  CHASSI:  9BM6881563B347252  LOCAL:  UJU   Patrim.:  10322")</f>
      </c>
      <c r="C78" s="4" t="inlineStr">
        <is>
          <t>Vendido</t>
        </is>
      </c>
      <c r="D78" s="4" t="inlineStr">
        <is>
          <t>46</t>
        </is>
      </c>
      <c r="E78" s="5" t="inlineStr">
        <is>
          <t>36.000,00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=HYPERLINK("https://rossileiloes.com.br/lote/detalhe/7389", "089")</f>
      </c>
      <c r="B79" s="4" t="s">
        <f>=HYPERLINK("https://rossileiloes.com.br/lote/detalhe/7389", " Cam. MBB 1725 - Ano 2006 - Cor Branca Com Carroceria Comboio Chassi 87059090 - Patr. 41098 PLACA:  AOJ-4742  CHASSI:  9BM9580746B501581  LOCAL:  UJU   Patrim.:  10373")</f>
      </c>
      <c r="C79" s="4" t="inlineStr">
        <is>
          <t>Vendido</t>
        </is>
      </c>
      <c r="D79" s="4" t="inlineStr">
        <is>
          <t>72</t>
        </is>
      </c>
      <c r="E79" s="5" t="inlineStr">
        <is>
          <t>50.500,00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=HYPERLINK("https://rossileiloes.com.br/lote/detalhe/7391", "090")</f>
      </c>
      <c r="B80" s="4" t="s">
        <f>=HYPERLINK("https://rossileiloes.com.br/lote/detalhe/7391", " Cam. MBB AXOR 3344 6x4 Ano 2008 Cor Branca Cavalo Mec. PLACA:  AQF-4552  CHASSI:  9BM9584718B604295  LOCAL:  UJU   Patrim.:  10411")</f>
      </c>
      <c r="C80" s="4" t="inlineStr">
        <is>
          <t>Vendido</t>
        </is>
      </c>
      <c r="D80" s="4" t="inlineStr">
        <is>
          <t>39</t>
        </is>
      </c>
      <c r="E80" s="5" t="inlineStr">
        <is>
          <t>48.000,00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=HYPERLINK("https://rossileiloes.com.br/lote/detalhe/7392", "093")</f>
      </c>
      <c r="B81" s="4" t="s">
        <f>=HYPERLINK("https://rossileiloes.com.br/lote/detalhe/7392", " Cam. Volvo NL 12 410 Ano 1995 - Cor Branca no Chassis Plataforma PLACA:  AFC-2515  CHASSI:  9BVN3A4D0SE645609  LOCAL:  UJU   Patrim.:  10185")</f>
      </c>
      <c r="C81" s="4" t="inlineStr">
        <is>
          <t>Vendido</t>
        </is>
      </c>
      <c r="D81" s="4" t="inlineStr">
        <is>
          <t>9</t>
        </is>
      </c>
      <c r="E81" s="5" t="inlineStr">
        <is>
          <t>22.000,00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=HYPERLINK("https://rossileiloes.com.br/lote/detalhe/7393", "094")</f>
      </c>
      <c r="B82" s="4" t="s">
        <f>=HYPERLINK("https://rossileiloes.com.br/lote/detalhe/7393", " Cam. Volvo NL 12 410 Ano 1995 - Cor Branca no Chassis Plataforma PLACA:  AFC-2518  CHASSI:  9BVN3A4D0DE545692  LOCAL:  UJU   Patrim.:  10189")</f>
      </c>
      <c r="C82" s="4" t="inlineStr">
        <is>
          <t>Vendido</t>
        </is>
      </c>
      <c r="D82" s="4" t="inlineStr">
        <is>
          <t>36</t>
        </is>
      </c>
      <c r="E82" s="5" t="inlineStr">
        <is>
          <t>35.000,00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=HYPERLINK("https://rossileiloes.com.br/lote/detalhe/7593", "095")</f>
      </c>
      <c r="B83" s="4" t="s">
        <f>=HYPERLINK("https://rossileiloes.com.br/lote/detalhe/7593", "Cam. Volvo FM12 420 - Ano2003/2004-Cor Branca no Chassis Plataforma - PLACA: ALM-7234  - CHASSI:  93KA4CFDX4E701006  - LOCAL: UJU  Patrim.:  10329")</f>
      </c>
      <c r="C83" s="4" t="inlineStr">
        <is>
          <t>Vendido</t>
        </is>
      </c>
      <c r="D83" s="4" t="inlineStr">
        <is>
          <t>69</t>
        </is>
      </c>
      <c r="E83" s="5" t="inlineStr">
        <is>
          <t>56.000,00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=HYPERLINK("https://rossileiloes.com.br/lote/detalhe/7390", "096")</f>
      </c>
      <c r="B84" s="4" t="s">
        <f>=HYPERLINK("https://rossileiloes.com.br/lote/detalhe/7390", " Cam. Volvo FM12 440 - Ano 2006/2007 Cor Branca Cavalo Mec. PLACA:  AOG-4643  CHASSI:  9BVAS02D67E730517  LOCAL:  UJU   Patrim.:  10370")</f>
      </c>
      <c r="C84" s="4" t="inlineStr">
        <is>
          <t>Vendido</t>
        </is>
      </c>
      <c r="D84" s="4" t="inlineStr">
        <is>
          <t>50</t>
        </is>
      </c>
      <c r="E84" s="5" t="inlineStr">
        <is>
          <t>50.000,00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=HYPERLINK("https://rossileiloes.com.br/lote/detalhe/7394", "097")</f>
      </c>
      <c r="B85" s="4" t="s">
        <f>=HYPERLINK("https://rossileiloes.com.br/lote/detalhe/7394", " Cam. Volvo FM 440 - Ano 2006/2007 - Cor Branca - Cavalo Mec. PLACA:   AOG-2699  CHASSI:  9BVAS02D87E730518  LOCAL:  UJU   Patrim.:  10375")</f>
      </c>
      <c r="C85" s="4" t="inlineStr">
        <is>
          <t>Vendido</t>
        </is>
      </c>
      <c r="D85" s="4" t="inlineStr">
        <is>
          <t>84</t>
        </is>
      </c>
      <c r="E85" s="5" t="inlineStr">
        <is>
          <t>67.000,00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=HYPERLINK("https://rossileiloes.com.br/lote/detalhe/7399", "100")</f>
      </c>
      <c r="B86" s="4" t="s">
        <f>=HYPERLINK("https://rossileiloes.com.br/lote/detalhe/7399", " Cam. VW 8.150E Delivery - Ano 2007/2008 - Cor Branco - Com Carroceria Fechada (Bau) - Patr. 41678 PLACA:  APR-9293  CHASSI:  9BWA952P38R819793  LOCAL:  UJU  Patrim.:  10406 ")</f>
      </c>
      <c r="C86" s="4" t="inlineStr">
        <is>
          <t>Vendido</t>
        </is>
      </c>
      <c r="D86" s="4" t="inlineStr">
        <is>
          <t>33</t>
        </is>
      </c>
      <c r="E86" s="5" t="inlineStr">
        <is>
          <t>39.000,00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=HYPERLINK("https://rossileiloes.com.br/lote/detalhe/7397", "101")</f>
      </c>
      <c r="B87" s="4" t="s">
        <f>=HYPERLINK("https://rossileiloes.com.br/lote/detalhe/7397", " Micro-Onibus VW 9 150 - Ano2007 - Cor Branca PLACA:  APD-5578  CHASSI:  9BWD252RX7R726545  LOCAL:  UJU   Patrim.:  10508")</f>
      </c>
      <c r="C87" s="4" t="inlineStr">
        <is>
          <t>Não vendido</t>
        </is>
      </c>
      <c r="D87" s="4" t="inlineStr">
        <is>
          <t>48</t>
        </is>
      </c>
      <c r="E87" s="5" t="inlineStr">
        <is>
          <t>39.000,00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=HYPERLINK("https://rossileiloes.com.br/lote/detalhe/7398", "103")</f>
      </c>
      <c r="B88" s="4" t="s">
        <f>=HYPERLINK("https://rossileiloes.com.br/lote/detalhe/7398", " Carregadeira Cana MF 290 4x4 - Ano2003 - S/Patr.  SERIE: 2904153510  LOCAL:  UJU  Patrim.:  20463")</f>
      </c>
      <c r="C88" s="4" t="inlineStr">
        <is>
          <t>Vendido</t>
        </is>
      </c>
      <c r="D88" s="4" t="inlineStr">
        <is>
          <t>44</t>
        </is>
      </c>
      <c r="E88" s="5" t="inlineStr">
        <is>
          <t>34.000,00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=HYPERLINK("https://rossileiloes.com.br/lote/detalhe/7401", "104")</f>
      </c>
      <c r="B89" s="4" t="s">
        <f>=HYPERLINK("https://rossileiloes.com.br/lote/detalhe/7401", " Carregadeira Cana MF 290 4x4 - Ano 2000 SERIE: 290038187 LOCAL:  UJU  Patrim.:  20633")</f>
      </c>
      <c r="C89" s="4" t="inlineStr">
        <is>
          <t>Vendido</t>
        </is>
      </c>
      <c r="D89" s="4" t="inlineStr">
        <is>
          <t>35</t>
        </is>
      </c>
      <c r="E89" s="5" t="inlineStr">
        <is>
          <t>30.000,00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=HYPERLINK("https://rossileiloes.com.br/lote/detalhe/7396", "105")</f>
      </c>
      <c r="B90" s="4" t="s">
        <f>=HYPERLINK("https://rossileiloes.com.br/lote/detalhe/7396", " Carregadeira Cana Valtra BM 100 - Ano 2005 - C/ Cabine Patr. 40726 - ACIDENTADA   SERIE: BM104515022   LOCAL:  UJU  Patrim.:  20619")</f>
      </c>
      <c r="C90" s="4" t="inlineStr">
        <is>
          <t>Vendido</t>
        </is>
      </c>
      <c r="D90" s="4" t="inlineStr">
        <is>
          <t>32</t>
        </is>
      </c>
      <c r="E90" s="5" t="inlineStr">
        <is>
          <t>26.000,00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=HYPERLINK("https://rossileiloes.com.br/lote/detalhe/7400", "107")</f>
      </c>
      <c r="B91" s="4" t="s">
        <f>=HYPERLINK("https://rossileiloes.com.br/lote/detalhe/7400", " Carregadeira Cana Valtra BM 100 - Ano 2006  SERIE: 55701  LOCAL:  UJU  Patrim.:  21077")</f>
      </c>
      <c r="C91" s="4" t="inlineStr">
        <is>
          <t>Vendido</t>
        </is>
      </c>
      <c r="D91" s="4" t="inlineStr">
        <is>
          <t>29</t>
        </is>
      </c>
      <c r="E91" s="5" t="inlineStr">
        <is>
          <t>29.000,00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=HYPERLINK("https://rossileiloes.com.br/lote/detalhe/7402", "108")</f>
      </c>
      <c r="B92" s="4" t="s">
        <f>=HYPERLINK("https://rossileiloes.com.br/lote/detalhe/7402", " Carregadeira Cana Valtra BM 100 - Ano 2006  SERIE: 55699  LOCAL:  UJU   Patrim.:  21079")</f>
      </c>
      <c r="C92" s="4" t="inlineStr">
        <is>
          <t>Vendido</t>
        </is>
      </c>
      <c r="D92" s="4" t="inlineStr">
        <is>
          <t>34</t>
        </is>
      </c>
      <c r="E92" s="5" t="inlineStr">
        <is>
          <t>31.500,00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=HYPERLINK("https://rossileiloes.com.br/lote/detalhe/7404", "109")</f>
      </c>
      <c r="B93" s="4" t="s">
        <f>=HYPERLINK("https://rossileiloes.com.br/lote/detalhe/7404", " Carregadeira Cana Valtra BM 100 - Ano 2005  S/ SERIE  LOCAL:  UJU  Patrim.:  21074")</f>
      </c>
      <c r="C93" s="4" t="inlineStr">
        <is>
          <t>Vendido</t>
        </is>
      </c>
      <c r="D93" s="4" t="inlineStr">
        <is>
          <t>34</t>
        </is>
      </c>
      <c r="E93" s="5" t="inlineStr">
        <is>
          <t>31.500,00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=HYPERLINK("https://rossileiloes.com.br/lote/detalhe/7408", "110")</f>
      </c>
      <c r="B94" s="4" t="s">
        <f>=HYPERLINK("https://rossileiloes.com.br/lote/detalhe/7408", " Carregadeira Cana Valtra BM 100 - Ano 2005  SERIE: 55313  LOCAL:  UJU  Patrim.:  21075")</f>
      </c>
      <c r="C94" s="4" t="inlineStr">
        <is>
          <t>Vendido</t>
        </is>
      </c>
      <c r="D94" s="4" t="inlineStr">
        <is>
          <t>38</t>
        </is>
      </c>
      <c r="E94" s="5" t="inlineStr">
        <is>
          <t>33.500,00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=HYPERLINK("https://rossileiloes.com.br/lote/detalhe/7403", "111")</f>
      </c>
      <c r="B95" s="4" t="s">
        <f>=HYPERLINK("https://rossileiloes.com.br/lote/detalhe/7403", " Carregadeira Cana Valtra BM 100 - Ano 2005  S/ SERIE  LOCAL:  UJU  Patrim.:  21076")</f>
      </c>
      <c r="C95" s="4" t="inlineStr">
        <is>
          <t>Vendido</t>
        </is>
      </c>
      <c r="D95" s="4" t="inlineStr">
        <is>
          <t>31</t>
        </is>
      </c>
      <c r="E95" s="5" t="inlineStr">
        <is>
          <t>32.500,00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=HYPERLINK("https://rossileiloes.com.br/lote/detalhe/7409", "112")</f>
      </c>
      <c r="B96" s="4" t="s">
        <f>=HYPERLINK("https://rossileiloes.com.br/lote/detalhe/7409", " Carregadeira Cana Valtra BM 100 - Ano 2007  SERIE: 66580  LOCAL:  UJU  Patrim.:  21082")</f>
      </c>
      <c r="C96" s="4" t="inlineStr">
        <is>
          <t>Vendido</t>
        </is>
      </c>
      <c r="D96" s="4" t="inlineStr">
        <is>
          <t>52</t>
        </is>
      </c>
      <c r="E96" s="5" t="inlineStr">
        <is>
          <t>40.500,00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=HYPERLINK("https://rossileiloes.com.br/lote/detalhe/7405", "113")</f>
      </c>
      <c r="B97" s="4" t="s">
        <f>=HYPERLINK("https://rossileiloes.com.br/lote/detalhe/7405", " Carregadeira Cana Valtra BM 100 - Ano 2005  SERIE: 55702  LOCAL:  UJU  Patrim.:  21080")</f>
      </c>
      <c r="C97" s="4" t="inlineStr">
        <is>
          <t>Vendido</t>
        </is>
      </c>
      <c r="D97" s="4" t="inlineStr">
        <is>
          <t>43</t>
        </is>
      </c>
      <c r="E97" s="5" t="inlineStr">
        <is>
          <t>36.000,00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=HYPERLINK("https://rossileiloes.com.br/lote/detalhe/7412", "116")</f>
      </c>
      <c r="B98" s="4" t="s">
        <f>=HYPERLINK("https://rossileiloes.com.br/lote/detalhe/7412", " Trator MF 275 - Ano 1997 - S/ Cabine SERIE: 16430 LOCAL:  UJU  Patrim.:  20073")</f>
      </c>
      <c r="C98" s="4" t="inlineStr">
        <is>
          <t>Vendido</t>
        </is>
      </c>
      <c r="D98" s="4" t="inlineStr">
        <is>
          <t>19</t>
        </is>
      </c>
      <c r="E98" s="5" t="inlineStr">
        <is>
          <t>24.500,00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=HYPERLINK("https://rossileiloes.com.br/lote/detalhe/7410", "117")</f>
      </c>
      <c r="B99" s="4" t="s">
        <f>=HYPERLINK("https://rossileiloes.com.br/lote/detalhe/7410", " Trator MF 275 4x4 - Ano 2000 - S/ Cabine  SERIE: 275047130  LOCAL:  UJU  Patrim.:  20352")</f>
      </c>
      <c r="C99" s="4" t="inlineStr">
        <is>
          <t>Vendido</t>
        </is>
      </c>
      <c r="D99" s="4" t="inlineStr">
        <is>
          <t>45</t>
        </is>
      </c>
      <c r="E99" s="5" t="inlineStr">
        <is>
          <t>35.500,00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=HYPERLINK("https://rossileiloes.com.br/lote/detalhe/7411", "118")</f>
      </c>
      <c r="B100" s="4" t="s">
        <f>=HYPERLINK("https://rossileiloes.com.br/lote/detalhe/7411", " Trator MF 275 4x4 - Ano 2000 - C/ Cabine S/ Patr.  SERIE: 0275047131  LOCAL:  UJU   Patrim.:  20353")</f>
      </c>
      <c r="C100" s="4" t="inlineStr">
        <is>
          <t>Vendido</t>
        </is>
      </c>
      <c r="D100" s="4" t="inlineStr">
        <is>
          <t>39</t>
        </is>
      </c>
      <c r="E100" s="5" t="inlineStr">
        <is>
          <t>33.000,00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=HYPERLINK("https://rossileiloes.com.br/lote/detalhe/7413", "119")</f>
      </c>
      <c r="B101" s="4" t="s">
        <f>=HYPERLINK("https://rossileiloes.com.br/lote/detalhe/7413", " Trator MF 5285 4x4 - Ano 2003 - C/ Cabine S/ Patr.  SERIE: 5285149488  LOCAL:  UJU  Patrim.:  20435")</f>
      </c>
      <c r="C101" s="4" t="inlineStr">
        <is>
          <t>Vendido</t>
        </is>
      </c>
      <c r="D101" s="4" t="inlineStr">
        <is>
          <t>43</t>
        </is>
      </c>
      <c r="E101" s="5" t="inlineStr">
        <is>
          <t>35.000,00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=HYPERLINK("https://rossileiloes.com.br/lote/detalhe/7414", "120")</f>
      </c>
      <c r="B102" s="4" t="s">
        <f>=HYPERLINK("https://rossileiloes.com.br/lote/detalhe/7414", " Trator MF 275 4x4 - Ano 2004 - C/ Cabine S/ Patr.  SERIE: 275416165  LOCAL:  UJU  Patrim.:  20475")</f>
      </c>
      <c r="C102" s="4" t="inlineStr">
        <is>
          <t>Vendido</t>
        </is>
      </c>
      <c r="D102" s="4" t="inlineStr">
        <is>
          <t>44</t>
        </is>
      </c>
      <c r="E102" s="5" t="inlineStr">
        <is>
          <t>41.500,00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=HYPERLINK("https://rossileiloes.com.br/lote/detalhe/7415", "122")</f>
      </c>
      <c r="B103" s="4" t="s">
        <f>=HYPERLINK("https://rossileiloes.com.br/lote/detalhe/7415", " Trator MF 6360 4x4 - Ano 2007 - C/ Cabine S/ Patr.   SERIE: 6360244334  LOCAL:  UJU  Patrim.:  20823")</f>
      </c>
      <c r="C103" s="4" t="inlineStr">
        <is>
          <t>Vendido</t>
        </is>
      </c>
      <c r="D103" s="4" t="inlineStr">
        <is>
          <t>27</t>
        </is>
      </c>
      <c r="E103" s="5" t="inlineStr">
        <is>
          <t>30.500,00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=HYPERLINK("https://rossileiloes.com.br/lote/detalhe/7416", "123")</f>
      </c>
      <c r="B104" s="4" t="s">
        <f>=HYPERLINK("https://rossileiloes.com.br/lote/detalhe/7416", " Trator MF 6360 4x4 - Ano 2007 - C/ Cabine S/ Patr.   SERIE: 6360246604  LOCAL:  UJU  Patrim.:  20824")</f>
      </c>
      <c r="C104" s="4" t="inlineStr">
        <is>
          <t>Vendido</t>
        </is>
      </c>
      <c r="D104" s="4" t="inlineStr">
        <is>
          <t>26</t>
        </is>
      </c>
      <c r="E104" s="5" t="inlineStr">
        <is>
          <t>30.000,00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=HYPERLINK("https://rossileiloes.com.br/lote/detalhe/7417", "124")</f>
      </c>
      <c r="B105" s="4" t="s">
        <f>=HYPERLINK("https://rossileiloes.com.br/lote/detalhe/7417", " Trator MF 6360 4x4 - Ano 2009 - C/ Cabine S/ Patr.   SERIE: 6360270973  LOCAL:  UJU  Patrim.:  20878")</f>
      </c>
      <c r="C105" s="4" t="inlineStr">
        <is>
          <t>Vendido</t>
        </is>
      </c>
      <c r="D105" s="4" t="inlineStr">
        <is>
          <t>26</t>
        </is>
      </c>
      <c r="E105" s="5" t="inlineStr">
        <is>
          <t>30.000,00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=HYPERLINK("https://rossileiloes.com.br/lote/detalhe/7419", "125")</f>
      </c>
      <c r="B106" s="4" t="s">
        <f>=HYPERLINK("https://rossileiloes.com.br/lote/detalhe/7419", " Trator MF 6360 4x4 - Ano 2009 - C/ Cabine S/ Patr.   SERIE: 6360270975  LOCAL:  UJU  Patrim.:  20879")</f>
      </c>
      <c r="C106" s="4" t="inlineStr">
        <is>
          <t>Vendido</t>
        </is>
      </c>
      <c r="D106" s="4" t="inlineStr">
        <is>
          <t>33</t>
        </is>
      </c>
      <c r="E106" s="5" t="inlineStr">
        <is>
          <t>33.500,00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=HYPERLINK("https://rossileiloes.com.br/lote/detalhe/7418", "126")</f>
      </c>
      <c r="B107" s="4" t="s">
        <f>=HYPERLINK("https://rossileiloes.com.br/lote/detalhe/7418", " Trator MF 6360 4x4 - Ano 2009 - C/ Cabine S/ Patr.   SERIE: 6360271110  LOCAL:  UJU  Patrim.:  20921")</f>
      </c>
      <c r="C107" s="4" t="inlineStr">
        <is>
          <t>Vendido</t>
        </is>
      </c>
      <c r="D107" s="4" t="inlineStr">
        <is>
          <t>29</t>
        </is>
      </c>
      <c r="E107" s="5" t="inlineStr">
        <is>
          <t>31.500,00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=HYPERLINK("https://rossileiloes.com.br/lote/detalhe/7422", "127")</f>
      </c>
      <c r="B108" s="4" t="s">
        <f>=HYPERLINK("https://rossileiloes.com.br/lote/detalhe/7422", " Trator MF 290 - Ano 2005 - S/ Cabine  S/Serie.  LOCAL:  UJU  Patrim.:  21120")</f>
      </c>
      <c r="C108" s="4" t="inlineStr">
        <is>
          <t>Vendido</t>
        </is>
      </c>
      <c r="D108" s="4" t="inlineStr">
        <is>
          <t>23</t>
        </is>
      </c>
      <c r="E108" s="5" t="inlineStr">
        <is>
          <t>25.500,00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=HYPERLINK("https://rossileiloes.com.br/lote/detalhe/7420", "128")</f>
      </c>
      <c r="B109" s="4" t="s">
        <f>=HYPERLINK("https://rossileiloes.com.br/lote/detalhe/7420", " Trator MF 6360 4x4 - Ano 2007 - C/ Cabine S/ Pat   SERIE: 6360239122  LOCAL:  UJU  Patrim.:  21656")</f>
      </c>
      <c r="C109" s="4" t="inlineStr">
        <is>
          <t>Vendido</t>
        </is>
      </c>
      <c r="D109" s="4" t="inlineStr">
        <is>
          <t>39</t>
        </is>
      </c>
      <c r="E109" s="5" t="inlineStr">
        <is>
          <t>36.500,00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=HYPERLINK("https://rossileiloes.com.br/lote/detalhe/7421", "129")</f>
      </c>
      <c r="B110" s="4" t="s">
        <f>=HYPERLINK("https://rossileiloes.com.br/lote/detalhe/7421", " Trator MF 6360 4x4 - Ano 2007 - C/ Cabine S /Pat   SERIE: 6360239283  LOCAL:  UJU  Patrim.:  21692")</f>
      </c>
      <c r="C110" s="4" t="inlineStr">
        <is>
          <t>Vendido</t>
        </is>
      </c>
      <c r="D110" s="4" t="inlineStr">
        <is>
          <t>37</t>
        </is>
      </c>
      <c r="E110" s="5" t="inlineStr">
        <is>
          <t>35.500,00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=HYPERLINK("https://rossileiloes.com.br/lote/detalhe/7423", "130")</f>
      </c>
      <c r="B111" s="4" t="s">
        <f>=HYPERLINK("https://rossileiloes.com.br/lote/detalhe/7423", " Trator Valtra 1580 4x4 - Ano 2003 - C/ Cabine Patr. 40777  SERIE: 15804388099  LOCAL:  UJU   Patrim.:  20397")</f>
      </c>
      <c r="C111" s="4" t="inlineStr">
        <is>
          <t>Vendido</t>
        </is>
      </c>
      <c r="D111" s="4" t="inlineStr">
        <is>
          <t>27</t>
        </is>
      </c>
      <c r="E111" s="5" t="inlineStr">
        <is>
          <t>27.000,00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=HYPERLINK("https://rossileiloes.com.br/lote/detalhe/7424", "132")</f>
      </c>
      <c r="B112" s="4" t="s">
        <f>=HYPERLINK("https://rossileiloes.com.br/lote/detalhe/7424", " Trator Valtra 1580 4x4 - Ano 2003 - C/ Cabine Patr. 40781   SERIE: 15804388097  LOCAL:  UJU  Patrim.:  20597")</f>
      </c>
      <c r="C112" s="4" t="inlineStr">
        <is>
          <t>Vendido</t>
        </is>
      </c>
      <c r="D112" s="4" t="inlineStr">
        <is>
          <t>28</t>
        </is>
      </c>
      <c r="E112" s="5" t="inlineStr">
        <is>
          <t>27.500,00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=HYPERLINK("https://rossileiloes.com.br/lote/detalhe/7425", "133")</f>
      </c>
      <c r="B113" s="4" t="s">
        <f>=HYPERLINK("https://rossileiloes.com.br/lote/detalhe/7425", " Trator Valtra 1580 4x4 - Ano 2003 - C/ Cabine Patr. 40782  SERIE: 15804388096  LOCAL:  UJU  Patrim.:  20598")</f>
      </c>
      <c r="C113" s="4" t="inlineStr">
        <is>
          <t>Vendido</t>
        </is>
      </c>
      <c r="D113" s="4" t="inlineStr">
        <is>
          <t>26</t>
        </is>
      </c>
      <c r="E113" s="5" t="inlineStr">
        <is>
          <t>26.500,00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=HYPERLINK("https://rossileiloes.com.br/lote/detalhe/7428", "134")</f>
      </c>
      <c r="B114" s="4" t="s">
        <f>=HYPERLINK("https://rossileiloes.com.br/lote/detalhe/7428", " Trator Valtra 1580 4x4 - Ano 2003 - C/ Cabine Patr. 40783  SERIE: 15804388095  LOCAL:  UJU  Patrim.:  20599")</f>
      </c>
      <c r="C114" s="4" t="inlineStr">
        <is>
          <t>Vendido</t>
        </is>
      </c>
      <c r="D114" s="4" t="inlineStr">
        <is>
          <t>25</t>
        </is>
      </c>
      <c r="E114" s="5" t="inlineStr">
        <is>
          <t>26.000,00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=HYPERLINK("https://rossileiloes.com.br/lote/detalhe/7429", "135")</f>
      </c>
      <c r="B115" s="4" t="s">
        <f>=HYPERLINK("https://rossileiloes.com.br/lote/detalhe/7429", " Trator Valtra 1780 4x4 - Ano 2003 - C/ Cabine Patr. 40858  SERIE: 17804300390  LOCAL:  UJU  Patrim.:  20453")</f>
      </c>
      <c r="C115" s="4" t="inlineStr">
        <is>
          <t>Vendido</t>
        </is>
      </c>
      <c r="D115" s="4" t="inlineStr">
        <is>
          <t>15</t>
        </is>
      </c>
      <c r="E115" s="5" t="inlineStr">
        <is>
          <t>24.000,00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=HYPERLINK("https://rossileiloes.com.br/lote/detalhe/7427", "137")</f>
      </c>
      <c r="B116" s="4" t="s">
        <f>=HYPERLINK("https://rossileiloes.com.br/lote/detalhe/7427", " Trator Valtra 1780 4x4 - Ano 2004 - C/ Cabine Patr. 40897  SERIE: 17804415220  LOCAL:  UJU  Patrim.:  20489")</f>
      </c>
      <c r="C116" s="4" t="inlineStr">
        <is>
          <t>Vendido</t>
        </is>
      </c>
      <c r="D116" s="4" t="inlineStr">
        <is>
          <t>16</t>
        </is>
      </c>
      <c r="E116" s="5" t="inlineStr">
        <is>
          <t>24.500,00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=HYPERLINK("https://rossileiloes.com.br/lote/detalhe/7426", "138")</f>
      </c>
      <c r="B117" s="4" t="s">
        <f>=HYPERLINK("https://rossileiloes.com.br/lote/detalhe/7426", " Trator Valtra 1780 4x4 - Ano 2005 - C/Cabine Patr. 40964  SERIE: 17804522503  LOCAL:  UJU  Patrim.:  20513")</f>
      </c>
      <c r="C117" s="4" t="inlineStr">
        <is>
          <t>Vendido</t>
        </is>
      </c>
      <c r="D117" s="4" t="inlineStr">
        <is>
          <t>28</t>
        </is>
      </c>
      <c r="E117" s="5" t="inlineStr">
        <is>
          <t>30.500,00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=HYPERLINK("https://rossileiloes.com.br/lote/detalhe/7430", "139")</f>
      </c>
      <c r="B118" s="4" t="s">
        <f>=HYPERLINK("https://rossileiloes.com.br/lote/detalhe/7430", " Trator Valtra 1780 4x4 - Ano 2005 - C/Cabine Patr.40939  SERIE: 17804522512  LOCAL:  UJU  Patrim.:  20515")</f>
      </c>
      <c r="C118" s="4" t="inlineStr">
        <is>
          <t>Vendido</t>
        </is>
      </c>
      <c r="D118" s="4" t="inlineStr">
        <is>
          <t>21</t>
        </is>
      </c>
      <c r="E118" s="5" t="inlineStr">
        <is>
          <t>27.000,00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=HYPERLINK("https://rossileiloes.com.br/lote/detalhe/7431", "140")</f>
      </c>
      <c r="B119" s="4" t="s">
        <f>=HYPERLINK("https://rossileiloes.com.br/lote/detalhe/7431", " Trator Valtra BL 900 4x4 - Ano 2005 - C/Cabine Patr.40945  SERIE: 09004522653   LOCAL:  UJU  Patrim.:  20519")</f>
      </c>
      <c r="C119" s="4" t="inlineStr">
        <is>
          <t>Vendido</t>
        </is>
      </c>
      <c r="D119" s="4" t="inlineStr">
        <is>
          <t>27</t>
        </is>
      </c>
      <c r="E119" s="5" t="inlineStr">
        <is>
          <t>31.500,00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=HYPERLINK("https://rossileiloes.com.br/lote/detalhe/7436", "142")</f>
      </c>
      <c r="B120" s="4" t="s">
        <f>=HYPERLINK("https://rossileiloes.com.br/lote/detalhe/7436", " Trator Valtra BL 900 4x4 - Ano 2005 - C/ Cabine Patr. 40947  SERIE: 09004522651  LOCAL:  UJU  Patrim.:  20521")</f>
      </c>
      <c r="C120" s="4" t="inlineStr">
        <is>
          <t>Vendido</t>
        </is>
      </c>
      <c r="D120" s="4" t="inlineStr">
        <is>
          <t>34</t>
        </is>
      </c>
      <c r="E120" s="5" t="inlineStr">
        <is>
          <t>35.000,00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=HYPERLINK("https://rossileiloes.com.br/lote/detalhe/7435", "143")</f>
      </c>
      <c r="B121" s="4" t="s">
        <f>=HYPERLINK("https://rossileiloes.com.br/lote/detalhe/7435", " Trator Valtra 1780 4x4 - Ano 2003 - C/ Cabine Patr. 40894  SERIE: 17804300399  LOCAL:  UJU  Patrim.:  20617")</f>
      </c>
      <c r="C121" s="4" t="inlineStr">
        <is>
          <t>Vendido</t>
        </is>
      </c>
      <c r="D121" s="4" t="inlineStr">
        <is>
          <t>11</t>
        </is>
      </c>
      <c r="E121" s="5" t="inlineStr">
        <is>
          <t>22.000,00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=HYPERLINK("https://rossileiloes.com.br/lote/detalhe/7434", "144")</f>
      </c>
      <c r="B122" s="4" t="s">
        <f>=HYPERLINK("https://rossileiloes.com.br/lote/detalhe/7434", " Trator Valtra 1780 4x4 - Ano 2006 - C/ Cabine Patr. 41027 SERIE: 17804629222 LOCAL: UJU  Patrim.:  20686")</f>
      </c>
      <c r="C122" s="4" t="inlineStr">
        <is>
          <t>Vendido</t>
        </is>
      </c>
      <c r="D122" s="4" t="inlineStr">
        <is>
          <t>21</t>
        </is>
      </c>
      <c r="E122" s="5" t="inlineStr">
        <is>
          <t>27.000,00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=HYPERLINK("https://rossileiloes.com.br/lote/detalhe/7432", "145")</f>
      </c>
      <c r="B123" s="4" t="s">
        <f>=HYPERLINK("https://rossileiloes.com.br/lote/detalhe/7432", " Trator Valtra 1780 4x4 - Ano 2006/2007 - C/ Cabine Patr. 41029 SERIE: 17804629222 LOCAL: UJU Patrim.:  20688")</f>
      </c>
      <c r="C123" s="4" t="inlineStr">
        <is>
          <t>Vendido</t>
        </is>
      </c>
      <c r="D123" s="4" t="inlineStr">
        <is>
          <t>35</t>
        </is>
      </c>
      <c r="E123" s="5" t="inlineStr">
        <is>
          <t>34.000,00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=HYPERLINK("https://rossileiloes.com.br/lote/detalhe/7437", "146")</f>
      </c>
      <c r="B124" s="4" t="s">
        <f>=HYPERLINK("https://rossileiloes.com.br/lote/detalhe/7437", " Trator Valtra 1780 4x4 - Ano 2006/2007 - C/ Cabine Patr. 41030  SERIE: 17804629220  LOCAL:  UJU  Patrim.:  20689")</f>
      </c>
      <c r="C124" s="4" t="inlineStr">
        <is>
          <t>Vendido</t>
        </is>
      </c>
      <c r="D124" s="4" t="inlineStr">
        <is>
          <t>19</t>
        </is>
      </c>
      <c r="E124" s="5" t="inlineStr">
        <is>
          <t>26.000,00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=HYPERLINK("https://rossileiloes.com.br/lote/detalhe/7433", "147")</f>
      </c>
      <c r="B125" s="4" t="s">
        <f>=HYPERLINK("https://rossileiloes.com.br/lote/detalhe/7433", " Trator Valtra 1780 4x4 - Ano 2006/2007 - C/ Cabine Patr. 41031  SERIE: 17804629225   LOCAL:  UJU  Patrim.:  20690")</f>
      </c>
      <c r="C125" s="4" t="inlineStr">
        <is>
          <t>Vendido</t>
        </is>
      </c>
      <c r="D125" s="4" t="inlineStr">
        <is>
          <t>34</t>
        </is>
      </c>
      <c r="E125" s="5" t="inlineStr">
        <is>
          <t>33.500,00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=HYPERLINK("https://rossileiloes.com.br/lote/detalhe/7438", "148")</f>
      </c>
      <c r="B126" s="4" t="s">
        <f>=HYPERLINK("https://rossileiloes.com.br/lote/detalhe/7438", " Trator Valtra 1780 4x4 - Ano 2006 - C/ Cabine Patr. 41049 SERIE: 17804629282 LOCAL: UJU Patrim.:  20707")</f>
      </c>
      <c r="C126" s="4" t="inlineStr">
        <is>
          <t>Vendido</t>
        </is>
      </c>
      <c r="D126" s="4" t="inlineStr">
        <is>
          <t>21</t>
        </is>
      </c>
      <c r="E126" s="5" t="inlineStr">
        <is>
          <t>27.000,00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=HYPERLINK("https://rossileiloes.com.br/lote/detalhe/7439", "149")</f>
      </c>
      <c r="B127" s="4" t="s">
        <f>=HYPERLINK("https://rossileiloes.com.br/lote/detalhe/7439", " Trator Valtra 1780 4x4 - Ano 2006 - C/ Cabine Patr. 41050 SERIE: 17804629286 LOCAL: UJU Patrim.:  20709")</f>
      </c>
      <c r="C127" s="4" t="inlineStr">
        <is>
          <t>Vendido</t>
        </is>
      </c>
      <c r="D127" s="4" t="inlineStr">
        <is>
          <t>16</t>
        </is>
      </c>
      <c r="E127" s="5" t="inlineStr">
        <is>
          <t>24.500,00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=HYPERLINK("https://rossileiloes.com.br/lote/detalhe/7443", "150")</f>
      </c>
      <c r="B128" s="4" t="s">
        <f>=HYPERLINK("https://rossileiloes.com.br/lote/detalhe/7443", " Trator Valtra 1780 4x4 - Ano 2006 - C/ Cabine Patr. 41052 SERIE: 17804629284 LOCAL: UJU Patrim.:  20713")</f>
      </c>
      <c r="C128" s="4" t="inlineStr">
        <is>
          <t>Vendido</t>
        </is>
      </c>
      <c r="D128" s="4" t="inlineStr">
        <is>
          <t>18</t>
        </is>
      </c>
      <c r="E128" s="5" t="inlineStr">
        <is>
          <t>25.500,00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=HYPERLINK("https://rossileiloes.com.br/lote/detalhe/7442", "151")</f>
      </c>
      <c r="B129" s="4" t="s">
        <f>=HYPERLINK("https://rossileiloes.com.br/lote/detalhe/7442", " Trator Valtra 1780 4x4 - Ano 2006 - C/ Cabine Patr. 41048 SERIE: 17804629231 LOCAL: UJU Patrim.:  20718")</f>
      </c>
      <c r="C129" s="4" t="inlineStr">
        <is>
          <t>Vendido</t>
        </is>
      </c>
      <c r="D129" s="4" t="inlineStr">
        <is>
          <t>18</t>
        </is>
      </c>
      <c r="E129" s="5" t="inlineStr">
        <is>
          <t>25.500,00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=HYPERLINK("https://rossileiloes.com.br/lote/detalhe/7441", "152")</f>
      </c>
      <c r="B130" s="4" t="s">
        <f>=HYPERLINK("https://rossileiloes.com.br/lote/detalhe/7441", " Trator Valtra 1780 4x4 - Ano 2006 - C/ Cabine Patr. 41037 SERIE: 17804629212 LOCAL: UJU Patrim.:  20719")</f>
      </c>
      <c r="C130" s="4" t="inlineStr">
        <is>
          <t>Vendido</t>
        </is>
      </c>
      <c r="D130" s="4" t="inlineStr">
        <is>
          <t>31</t>
        </is>
      </c>
      <c r="E130" s="5" t="inlineStr">
        <is>
          <t>32.000,00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=HYPERLINK("https://rossileiloes.com.br/lote/detalhe/7440", "153")</f>
      </c>
      <c r="B131" s="4" t="s">
        <f>=HYPERLINK("https://rossileiloes.com.br/lote/detalhe/7440", " Trator Valtra 1780 4x4 - Ano 2006 - C/ Cabine Patr. 41040 SERIE: 17804629215 LOCAL: UJU Patrim.:  20722")</f>
      </c>
      <c r="C131" s="4" t="inlineStr">
        <is>
          <t>Vendido</t>
        </is>
      </c>
      <c r="D131" s="4" t="inlineStr">
        <is>
          <t>21</t>
        </is>
      </c>
      <c r="E131" s="5" t="inlineStr">
        <is>
          <t>27.000,00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=HYPERLINK("https://rossileiloes.com.br/lote/detalhe/7444", "154")</f>
      </c>
      <c r="B132" s="4" t="s">
        <f>=HYPERLINK("https://rossileiloes.com.br/lote/detalhe/7444", " Trator Valtra 1780 4x4 - Ano 2006 - C/ Cabine Patr. 41042 SERIE: 17804629218 LOCAL: UJU Patrim.:  20725")</f>
      </c>
      <c r="C132" s="4" t="inlineStr">
        <is>
          <t>Vendido</t>
        </is>
      </c>
      <c r="D132" s="4" t="inlineStr">
        <is>
          <t>28</t>
        </is>
      </c>
      <c r="E132" s="5" t="inlineStr">
        <is>
          <t>30.500,00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=HYPERLINK("https://rossileiloes.com.br/lote/detalhe/7445", "155")</f>
      </c>
      <c r="B133" s="4" t="s">
        <f>=HYPERLINK("https://rossileiloes.com.br/lote/detalhe/7445", " Trator Valtra 1780 4x4 - Ano 2006 - C/ Cabine Patr. 41047 SERIE: 17804629217 LOCAL: UJU Patrim.:  20726")</f>
      </c>
      <c r="C133" s="4" t="inlineStr">
        <is>
          <t>Vendido</t>
        </is>
      </c>
      <c r="D133" s="4" t="inlineStr">
        <is>
          <t>24</t>
        </is>
      </c>
      <c r="E133" s="5" t="inlineStr">
        <is>
          <t>28.500,00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=HYPERLINK("https://rossileiloes.com.br/lote/detalhe/7449", "156")</f>
      </c>
      <c r="B134" s="4" t="s">
        <f>=HYPERLINK("https://rossileiloes.com.br/lote/detalhe/7449", " Trator Valtra 1780 4x4 - Ano 2006 - C/ Cabine Patr. 41041 SERIE: 17804629219  LOCAL: UJU Patrim.:  20752")</f>
      </c>
      <c r="C134" s="4" t="inlineStr">
        <is>
          <t>Vendido</t>
        </is>
      </c>
      <c r="D134" s="4" t="inlineStr">
        <is>
          <t>18</t>
        </is>
      </c>
      <c r="E134" s="5" t="inlineStr">
        <is>
          <t>25.500,00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=HYPERLINK("https://rossileiloes.com.br/lote/detalhe/7446", "157")</f>
      </c>
      <c r="B135" s="4" t="s">
        <f>=HYPERLINK("https://rossileiloes.com.br/lote/detalhe/7446", " Trator Valtra 1780 4x4 - Ano 2007 - C/ Cabine S/Patr. SERIE: 17804737790  LOCAL: UJU  Patrim.:  20797")</f>
      </c>
      <c r="C135" s="4" t="inlineStr">
        <is>
          <t>Vendido</t>
        </is>
      </c>
      <c r="D135" s="4" t="inlineStr">
        <is>
          <t>17</t>
        </is>
      </c>
      <c r="E135" s="5" t="inlineStr">
        <is>
          <t>25.000,00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=HYPERLINK("https://rossileiloes.com.br/lote/detalhe/7447", "158")</f>
      </c>
      <c r="B136" s="4" t="s">
        <f>=HYPERLINK("https://rossileiloes.com.br/lote/detalhe/7447", " Trator Valtra 1780 4x4 - Ano 2007 - C/ Cabine Patr. 41142 SERIE: 17804737792 LOCAL: UJU Patrim.:  20798")</f>
      </c>
      <c r="C136" s="4" t="inlineStr">
        <is>
          <t>Vendido</t>
        </is>
      </c>
      <c r="D136" s="4" t="inlineStr">
        <is>
          <t>16</t>
        </is>
      </c>
      <c r="E136" s="5" t="inlineStr">
        <is>
          <t>24.500,00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=HYPERLINK("https://rossileiloes.com.br/lote/detalhe/7451", "159")</f>
      </c>
      <c r="B137" s="4" t="s">
        <f>=HYPERLINK("https://rossileiloes.com.br/lote/detalhe/7451", " Trator Valtra 1780 4x4 - Ano 2007 - C/ Cabine Patr. 41145 SERIE: 17804739075 LOCAL: UJU  Patrim.:  20817")</f>
      </c>
      <c r="C137" s="4" t="inlineStr">
        <is>
          <t>Vendido</t>
        </is>
      </c>
      <c r="D137" s="4" t="inlineStr">
        <is>
          <t>18</t>
        </is>
      </c>
      <c r="E137" s="5" t="inlineStr">
        <is>
          <t>25.500,00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=HYPERLINK("https://rossileiloes.com.br/lote/detalhe/7448", "160")</f>
      </c>
      <c r="B138" s="4" t="s">
        <f>=HYPERLINK("https://rossileiloes.com.br/lote/detalhe/7448", " Trator Valtra 1780 4X4 - Ano 2007/2008 - C/Cabine Patr. 41146 SERIE: 17804739288 LOCAL: UJU Patrim.:  20818")</f>
      </c>
      <c r="C138" s="4" t="inlineStr">
        <is>
          <t>Vendido</t>
        </is>
      </c>
      <c r="D138" s="4" t="inlineStr">
        <is>
          <t>38</t>
        </is>
      </c>
      <c r="E138" s="5" t="inlineStr">
        <is>
          <t>35.500,00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=HYPERLINK("https://rossileiloes.com.br/lote/detalhe/7450", "161")</f>
      </c>
      <c r="B139" s="4" t="s">
        <f>=HYPERLINK("https://rossileiloes.com.br/lote/detalhe/7450", " Trator Valtra 1780 4x4 - Ano 2007/2008 - C/Cabine Patr. 41147 SERIE: 17804739287 LOCAL: UJU  Patrim.:  20819")</f>
      </c>
      <c r="C139" s="4" t="inlineStr">
        <is>
          <t>Vendido</t>
        </is>
      </c>
      <c r="D139" s="4" t="inlineStr">
        <is>
          <t>32</t>
        </is>
      </c>
      <c r="E139" s="5" t="inlineStr">
        <is>
          <t>32.500,00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=HYPERLINK("https://rossileiloes.com.br/lote/detalhe/7452", "162")</f>
      </c>
      <c r="B140" s="4" t="s">
        <f>=HYPERLINK("https://rossileiloes.com.br/lote/detalhe/7452", " Trator Valtra 1780 4x4 - Ano 2007/2008 - C/Cabine Patr. 41148 SERIE: 17804739286 LOCAL: UJU Patrim.:  20820")</f>
      </c>
      <c r="C140" s="4" t="inlineStr">
        <is>
          <t>Vendido</t>
        </is>
      </c>
      <c r="D140" s="4" t="inlineStr">
        <is>
          <t>43</t>
        </is>
      </c>
      <c r="E140" s="5" t="inlineStr">
        <is>
          <t>38.000,00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=HYPERLINK("https://rossileiloes.com.br/lote/detalhe/7454", "164")</f>
      </c>
      <c r="B141" s="4" t="s">
        <f>=HYPERLINK("https://rossileiloes.com.br/lote/detalhe/7454", " Trator Valtra BM 100 4x4 - Ano 2008 - C/ Cabine S/Patr. - C/Pulverizador Implemart Mod. 849 PJ-600 Ano 2009 - Frota 51091. SERIE: M100223615 LOCAL: UJU  Patrim.:  20854")</f>
      </c>
      <c r="C141" s="4" t="inlineStr">
        <is>
          <t>Vendido</t>
        </is>
      </c>
      <c r="D141" s="4" t="inlineStr">
        <is>
          <t>54</t>
        </is>
      </c>
      <c r="E141" s="5" t="inlineStr">
        <is>
          <t>48.000,00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=HYPERLINK("https://rossileiloes.com.br/lote/detalhe/7453", "165")</f>
      </c>
      <c r="B142" s="4" t="s">
        <f>=HYPERLINK("https://rossileiloes.com.br/lote/detalhe/7453", " Trator Valtra BH 185 4x4 - Ano 2008 - C/ Cabine S/Patr. SERIE: H185228034 LOCAL: UJU Patrim.:  20855")</f>
      </c>
      <c r="C142" s="4" t="inlineStr">
        <is>
          <t>Vendido</t>
        </is>
      </c>
      <c r="D142" s="4" t="inlineStr">
        <is>
          <t>48</t>
        </is>
      </c>
      <c r="E142" s="5" t="inlineStr">
        <is>
          <t>40.000,00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=HYPERLINK("https://rossileiloes.com.br/lote/detalhe/7455", "166")</f>
      </c>
      <c r="B143" s="4" t="s">
        <f>=HYPERLINK("https://rossileiloes.com.br/lote/detalhe/7455", " Trator Valtra BH 205 4x4 - Ano 2008/2009 - C/ Cabine S/Patr. VIDRO PORTA ESQUERDA QUEBRADO  SERIE: H205235993  LOCAL:  UJU  Patrim.:  20883")</f>
      </c>
      <c r="C143" s="4" t="inlineStr">
        <is>
          <t>Vendido</t>
        </is>
      </c>
      <c r="D143" s="4" t="inlineStr">
        <is>
          <t>50</t>
        </is>
      </c>
      <c r="E143" s="5" t="inlineStr">
        <is>
          <t>47.000,00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=HYPERLINK("https://rossileiloes.com.br/lote/detalhe/7458", "167")</f>
      </c>
      <c r="B144" s="4" t="s">
        <f>=HYPERLINK("https://rossileiloes.com.br/lote/detalhe/7458", " Trator Valtra BH-205 4X4 - Ano 2008/2009 - C/ Cabine S/Patr. SERIE: H205235996  LOCAL: UJU Patrim.:  20882")</f>
      </c>
      <c r="C144" s="4" t="inlineStr">
        <is>
          <t>Vendido</t>
        </is>
      </c>
      <c r="D144" s="4" t="inlineStr">
        <is>
          <t>56</t>
        </is>
      </c>
      <c r="E144" s="5" t="inlineStr">
        <is>
          <t>45.500,00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=HYPERLINK("https://rossileiloes.com.br/lote/detalhe/7456", "168")</f>
      </c>
      <c r="B145" s="4" t="s">
        <f>=HYPERLINK("https://rossileiloes.com.br/lote/detalhe/7456", " Trator Valtra BH 205 4x4 - Ano 2008/2009 - C/ Cabine S/Patr.  SERIE: H205236038  LOCAL:  UJU  Patrim.:  20886")</f>
      </c>
      <c r="C145" s="4" t="inlineStr">
        <is>
          <t>Vendido</t>
        </is>
      </c>
      <c r="D145" s="4" t="inlineStr">
        <is>
          <t>60</t>
        </is>
      </c>
      <c r="E145" s="5" t="inlineStr">
        <is>
          <t>48.000,00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=HYPERLINK("https://rossileiloes.com.br/lote/detalhe/7457", "169")</f>
      </c>
      <c r="B146" s="4" t="s">
        <f>=HYPERLINK("https://rossileiloes.com.br/lote/detalhe/7457", "Trator Valtra 1780 4x4 - Ano 2005 - C/ Cabine S/Patr. SERIE: 17804522510  Patrim.:  20514")</f>
      </c>
      <c r="C146" s="4" t="inlineStr">
        <is>
          <t>Vendido</t>
        </is>
      </c>
      <c r="D146" s="4" t="inlineStr">
        <is>
          <t>17</t>
        </is>
      </c>
      <c r="E146" s="5" t="inlineStr">
        <is>
          <t>25.000,00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=HYPERLINK("https://rossileiloes.com.br/lote/detalhe/7459", "170")</f>
      </c>
      <c r="B147" s="4" t="s">
        <f>=HYPERLINK("https://rossileiloes.com.br/lote/detalhe/7459", " Trator Valtra BH 205 4x4 - Ano 2008/2009 - C/ Cabine S/Patr.  SERIE: H205233694  LOCAL:  UJU . Patrim, 20888")</f>
      </c>
      <c r="C147" s="4" t="inlineStr">
        <is>
          <t>Vendido</t>
        </is>
      </c>
      <c r="D147" s="4" t="inlineStr">
        <is>
          <t>53</t>
        </is>
      </c>
      <c r="E147" s="5" t="inlineStr">
        <is>
          <t>44.000,00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=HYPERLINK("https://rossileiloes.com.br/lote/detalhe/7461", "171")</f>
      </c>
      <c r="B148" s="4" t="s">
        <f>=HYPERLINK("https://rossileiloes.com.br/lote/detalhe/7461", " Trator Valtra BH 205 4x4 - Ano 2008/2009 - C/ Cabine S/Patr.  SERIE: H205235995  LOCAL:  UJU . Patrim, 20889")</f>
      </c>
      <c r="C148" s="4" t="inlineStr">
        <is>
          <t>Vendido</t>
        </is>
      </c>
      <c r="D148" s="4" t="inlineStr">
        <is>
          <t>50</t>
        </is>
      </c>
      <c r="E148" s="5" t="inlineStr">
        <is>
          <t>42.500,00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=HYPERLINK("https://rossileiloes.com.br/lote/detalhe/7460", "172")</f>
      </c>
      <c r="B149" s="4" t="s">
        <f>=HYPERLINK("https://rossileiloes.com.br/lote/detalhe/7460", " Trator Valtra BH 205 4x4 - Ano 2008/2009 - C/ Cabine S/Patr.  SERIE: H205236393  LOCAL:  UJU . Patrim, 20890")</f>
      </c>
      <c r="C149" s="4" t="inlineStr">
        <is>
          <t>Vendido</t>
        </is>
      </c>
      <c r="D149" s="4" t="inlineStr">
        <is>
          <t>55</t>
        </is>
      </c>
      <c r="E149" s="5" t="inlineStr">
        <is>
          <t>45.000,00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=HYPERLINK("https://rossileiloes.com.br/lote/detalhe/7462", "173")</f>
      </c>
      <c r="B150" s="4" t="s">
        <f>=HYPERLINK("https://rossileiloes.com.br/lote/detalhe/7462", " Trator Valtra BH 205 4x4 - Ano 2009 - C/ Cabine S/ Patr.  SERIE: H205234653  LOCAL:  UJU . Patrim, 20925")</f>
      </c>
      <c r="C150" s="4" t="inlineStr">
        <is>
          <t>Vendido</t>
        </is>
      </c>
      <c r="D150" s="4" t="inlineStr">
        <is>
          <t>70</t>
        </is>
      </c>
      <c r="E150" s="5" t="inlineStr">
        <is>
          <t>58.000,00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=HYPERLINK("https://rossileiloes.com.br/lote/detalhe/7464", "174")</f>
      </c>
      <c r="B151" s="4" t="s">
        <f>=HYPERLINK("https://rossileiloes.com.br/lote/detalhe/7464", " Trator Valtra BH 205 4x4 - Ano 2009 - C/ Cabine S/ Patr.  SERIE: H205234545  LOCAL:  UJU . Patrim, 20927")</f>
      </c>
      <c r="C151" s="4" t="inlineStr">
        <is>
          <t>Vendido</t>
        </is>
      </c>
      <c r="D151" s="4" t="inlineStr">
        <is>
          <t>50</t>
        </is>
      </c>
      <c r="E151" s="5" t="inlineStr">
        <is>
          <t>42.500,00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=HYPERLINK("https://rossileiloes.com.br/lote/detalhe/7463", "175")</f>
      </c>
      <c r="B152" s="4" t="s">
        <f>=HYPERLINK("https://rossileiloes.com.br/lote/detalhe/7463", " Trator Valtra BH 205 4x4 - Ano 2009 - C/ Cabine S/ Patr.  SERIE: H205234546  LOCAL:  UJU . Patrim, 20928")</f>
      </c>
      <c r="C152" s="4" t="inlineStr">
        <is>
          <t>Vendido</t>
        </is>
      </c>
      <c r="D152" s="4" t="inlineStr">
        <is>
          <t>50</t>
        </is>
      </c>
      <c r="E152" s="5" t="inlineStr">
        <is>
          <t>43.000,00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=HYPERLINK("https://rossileiloes.com.br/lote/detalhe/7465", "176")</f>
      </c>
      <c r="B153" s="4" t="s">
        <f>=HYPERLINK("https://rossileiloes.com.br/lote/detalhe/7465", " Trator Valtra BH 205 4x4 - Ano 2009 - C/ Cabine S/ Patr.  SERIE: H205234543  LOCAL:  UJU . Patrim, 20930")</f>
      </c>
      <c r="C153" s="4" t="inlineStr">
        <is>
          <t>Vendido</t>
        </is>
      </c>
      <c r="D153" s="4" t="inlineStr">
        <is>
          <t>52</t>
        </is>
      </c>
      <c r="E153" s="5" t="inlineStr">
        <is>
          <t>43.500,00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=HYPERLINK("https://rossileiloes.com.br/lote/detalhe/7466", "177")</f>
      </c>
      <c r="B154" s="4" t="s">
        <f>=HYPERLINK("https://rossileiloes.com.br/lote/detalhe/7466", " Trator Valtra BH 205 4x4 - Ano 2009 - C/ Cabine S/ Patr.  SERE: H205233674  LOCAL:  UJU . Patrim, 20938")</f>
      </c>
      <c r="C154" s="4" t="inlineStr">
        <is>
          <t>Vendido</t>
        </is>
      </c>
      <c r="D154" s="4" t="inlineStr">
        <is>
          <t>33</t>
        </is>
      </c>
      <c r="E154" s="5" t="inlineStr">
        <is>
          <t>43.500,00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=HYPERLINK("https://rossileiloes.com.br/lote/detalhe/7467", "178")</f>
      </c>
      <c r="B155" s="4" t="s">
        <f>=HYPERLINK("https://rossileiloes.com.br/lote/detalhe/7467", " Trator Valtra BH 205 4x4 - Ano 2009 - C/ Cabine S/ Patr.  SERIE: H205237116  LOCAL:  UJU . Patrim, 20939")</f>
      </c>
      <c r="C155" s="4" t="inlineStr">
        <is>
          <t>Vendido</t>
        </is>
      </c>
      <c r="D155" s="4" t="inlineStr">
        <is>
          <t>26</t>
        </is>
      </c>
      <c r="E155" s="5" t="inlineStr">
        <is>
          <t>41.500,00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=HYPERLINK("https://rossileiloes.com.br/lote/detalhe/7468", "179")</f>
      </c>
      <c r="B156" s="4" t="s">
        <f>=HYPERLINK("https://rossileiloes.com.br/lote/detalhe/7468", " Trator Valtra BH 205 4x4 - Ano 2009 - C/ Cabine S/ Patr.  SERIE: H205237115  LOCAL:  UJU . Patrim, 20940")</f>
      </c>
      <c r="C156" s="4" t="inlineStr">
        <is>
          <t>Vendido</t>
        </is>
      </c>
      <c r="D156" s="4" t="inlineStr">
        <is>
          <t>36</t>
        </is>
      </c>
      <c r="E156" s="5" t="inlineStr">
        <is>
          <t>46.000,00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=HYPERLINK("https://rossileiloes.com.br/lote/detalhe/7473", "180")</f>
      </c>
      <c r="B157" s="4" t="s">
        <f>=HYPERLINK("https://rossileiloes.com.br/lote/detalhe/7473", " Trator Valtra BH 205 4x4 - Ano 2009 - C/ Cabine S/ Patr.  SERIE: H205236636  LOCAL:  UJU . Patrim, 20944")</f>
      </c>
      <c r="C157" s="4" t="inlineStr">
        <is>
          <t>Vendido</t>
        </is>
      </c>
      <c r="D157" s="4" t="inlineStr">
        <is>
          <t>28</t>
        </is>
      </c>
      <c r="E157" s="5" t="inlineStr">
        <is>
          <t>43.000,00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=HYPERLINK("https://rossileiloes.com.br/lote/detalhe/7469", "181")</f>
      </c>
      <c r="B158" s="4" t="s">
        <f>=HYPERLINK("https://rossileiloes.com.br/lote/detalhe/7469", " Trator Valtra BH 205 4x4 - Ano 2009 - C/ Cabine S/ Patr.  SERIE: H205233668  LOCAL:  UJU . Patrim, 20945")</f>
      </c>
      <c r="C158" s="4" t="inlineStr">
        <is>
          <t>Vendido</t>
        </is>
      </c>
      <c r="D158" s="4" t="inlineStr">
        <is>
          <t>27</t>
        </is>
      </c>
      <c r="E158" s="5" t="inlineStr">
        <is>
          <t>42.000,00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=HYPERLINK("https://rossileiloes.com.br/lote/detalhe/7471", "182")</f>
      </c>
      <c r="B159" s="4" t="s">
        <f>=HYPERLINK("https://rossileiloes.com.br/lote/detalhe/7471", " Trator Valtra BH 205 4x4 - Ano 2009 - C/ Cabine S/ Patr.  SERIE: H205234559  LOCAL:  UJU . Patrim, 20947")</f>
      </c>
      <c r="C159" s="4" t="inlineStr">
        <is>
          <t>Vendido</t>
        </is>
      </c>
      <c r="D159" s="4" t="inlineStr">
        <is>
          <t>42</t>
        </is>
      </c>
      <c r="E159" s="5" t="inlineStr">
        <is>
          <t>48.000,00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=HYPERLINK("https://rossileiloes.com.br/lote/detalhe/7470", "183")</f>
      </c>
      <c r="B160" s="4" t="s">
        <f>=HYPERLINK("https://rossileiloes.com.br/lote/detalhe/7470", " Trator Valtra BH 205 4x4 - Ano 2009 - C/ Cabine S/ Patr.  SERIE: H205234547  LOCAL:  UJU . Patrim, 20948")</f>
      </c>
      <c r="C160" s="4" t="inlineStr">
        <is>
          <t>Vendido</t>
        </is>
      </c>
      <c r="D160" s="4" t="inlineStr">
        <is>
          <t>24</t>
        </is>
      </c>
      <c r="E160" s="5" t="inlineStr">
        <is>
          <t>41.000,00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=HYPERLINK("https://rossileiloes.com.br/lote/detalhe/7472", "185")</f>
      </c>
      <c r="B161" s="4" t="s">
        <f>=HYPERLINK("https://rossileiloes.com.br/lote/detalhe/7472", " Trator Valtra BH 180 4x4 - Ano 2005 - C/ Cabine S/ Patr. SÉRIE: BH18 4517838 LOCAL: UJU. Patrim, 21061")</f>
      </c>
      <c r="C161" s="4" t="inlineStr">
        <is>
          <t>Vendido</t>
        </is>
      </c>
      <c r="D161" s="4" t="inlineStr">
        <is>
          <t>16</t>
        </is>
      </c>
      <c r="E161" s="5" t="inlineStr">
        <is>
          <t>24.500,00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=HYPERLINK("https://rossileiloes.com.br/lote/detalhe/7474", "186")</f>
      </c>
      <c r="B162" s="4" t="s">
        <f>=HYPERLINK("https://rossileiloes.com.br/lote/detalhe/7474", " Trator Valtra BH 180 4x4 - Ano 2005 - C/ Cabine S/ Patr. SÉRIE: BH18 4517839 LOCAL: UJU. Patrim, 21062")</f>
      </c>
      <c r="C162" s="4" t="inlineStr">
        <is>
          <t>Vendido</t>
        </is>
      </c>
      <c r="D162" s="4" t="inlineStr">
        <is>
          <t>15</t>
        </is>
      </c>
      <c r="E162" s="5" t="inlineStr">
        <is>
          <t>24.000,00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=HYPERLINK("https://rossileiloes.com.br/lote/detalhe/7478", "187")</f>
      </c>
      <c r="B163" s="4" t="s">
        <f>=HYPERLINK("https://rossileiloes.com.br/lote/detalhe/7478", " Trator Valtra BH 180 4x4 - Ano 2007 - C/ Cabine S/ Patr. SÉRIE: BH18 4736964 LOCAL:  UJU . Patrim, 21063")</f>
      </c>
      <c r="C163" s="4" t="inlineStr">
        <is>
          <t>Vendido</t>
        </is>
      </c>
      <c r="D163" s="4" t="inlineStr">
        <is>
          <t>18</t>
        </is>
      </c>
      <c r="E163" s="5" t="inlineStr">
        <is>
          <t>31.500,00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=HYPERLINK("https://rossileiloes.com.br/lote/detalhe/7476", "188")</f>
      </c>
      <c r="B164" s="4" t="s">
        <f>=HYPERLINK("https://rossileiloes.com.br/lote/detalhe/7476", " Trator Valtra BH 180 4x4 - Ano 2007 - C/ Cabine S/ Patr.  SÉRIE: BH18 4736965  LOCAL:  UJU . Patrim, 21064")</f>
      </c>
      <c r="C164" s="4" t="inlineStr">
        <is>
          <t>Vendido</t>
        </is>
      </c>
      <c r="D164" s="4" t="inlineStr">
        <is>
          <t>36</t>
        </is>
      </c>
      <c r="E164" s="5" t="inlineStr">
        <is>
          <t>34.500,00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=HYPERLINK("https://rossileiloes.com.br/lote/detalhe/7480", "189")</f>
      </c>
      <c r="B165" s="4" t="s">
        <f>=HYPERLINK("https://rossileiloes.com.br/lote/detalhe/7480", " Trator Valtra BH 180 4x4 - Ano 2007 - C/ Cabine S/ Patr.  SÉRIE: BH18 4736966  LOCAL:  UJU . Patrim, 21065")</f>
      </c>
      <c r="C165" s="4" t="inlineStr">
        <is>
          <t>Vendido</t>
        </is>
      </c>
      <c r="D165" s="4" t="inlineStr">
        <is>
          <t>39</t>
        </is>
      </c>
      <c r="E165" s="5" t="inlineStr">
        <is>
          <t>36.000,00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=HYPERLINK("https://rossileiloes.com.br/lote/detalhe/7475", "190")</f>
      </c>
      <c r="B166" s="4" t="s">
        <f>=HYPERLINK("https://rossileiloes.com.br/lote/detalhe/7475", " Trator Valtra BH 180 4x4 - Ano 2007 - C/ Cabine S/ Patr.  SÉRIE: BH18 4736967  LOCAL:  UJU . Patrim, 21066")</f>
      </c>
      <c r="C166" s="4" t="inlineStr">
        <is>
          <t>Vendido</t>
        </is>
      </c>
      <c r="D166" s="4" t="inlineStr">
        <is>
          <t>37</t>
        </is>
      </c>
      <c r="E166" s="5" t="inlineStr">
        <is>
          <t>35.000,00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=HYPERLINK("https://rossileiloes.com.br/lote/detalhe/7479", "191")</f>
      </c>
      <c r="B167" s="4" t="s">
        <f>=HYPERLINK("https://rossileiloes.com.br/lote/detalhe/7479", " Trator Valtra BH 180 4x4 - Ano 2007 - C/ Cabine S/ Patr.  S/SERIE  LOCAL:  UJU . Patrim, 21067")</f>
      </c>
      <c r="C167" s="4" t="inlineStr">
        <is>
          <t>Vendido</t>
        </is>
      </c>
      <c r="D167" s="4" t="inlineStr">
        <is>
          <t>38</t>
        </is>
      </c>
      <c r="E167" s="5" t="inlineStr">
        <is>
          <t>35.500,00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=HYPERLINK("https://rossileiloes.com.br/lote/detalhe/7477", "192")</f>
      </c>
      <c r="B168" s="4" t="s">
        <f>=HYPERLINK("https://rossileiloes.com.br/lote/detalhe/7477", " Trator Valtra BH 180 4x4 - Ano 2007 - C/ Cabine S/ Patr.  SERIE: 17768  LOCAL:  UJU . Patrim, 21068")</f>
      </c>
      <c r="C168" s="4" t="inlineStr">
        <is>
          <t>Vendido</t>
        </is>
      </c>
      <c r="D168" s="4" t="inlineStr">
        <is>
          <t>42</t>
        </is>
      </c>
      <c r="E168" s="5" t="inlineStr">
        <is>
          <t>38.000,00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=HYPERLINK("https://rossileiloes.com.br/lote/detalhe/7481", "193")</f>
      </c>
      <c r="B169" s="4" t="s">
        <f>=HYPERLINK("https://rossileiloes.com.br/lote/detalhe/7481", " Trator Valtra BH 180 4x4 - Ano 2007 - C/ Cabine S/ Patr.  SERIE BH18 4736970  LOCAL:  UJU . Patrim, 21069")</f>
      </c>
      <c r="C169" s="4" t="inlineStr">
        <is>
          <t>Vendido</t>
        </is>
      </c>
      <c r="D169" s="4" t="inlineStr">
        <is>
          <t>42</t>
        </is>
      </c>
      <c r="E169" s="5" t="inlineStr">
        <is>
          <t>37.500,00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=HYPERLINK("https://rossileiloes.com.br/lote/detalhe/7483", "194")</f>
      </c>
      <c r="B170" s="4" t="s">
        <f>=HYPERLINK("https://rossileiloes.com.br/lote/detalhe/7483", " Trator Valtra BH 180 4x4 - Ano 2007 - C/ Cabine S/ Patr.  S/SERIE  LOCAL:  UJU . Patrim, 21070")</f>
      </c>
      <c r="C170" s="4" t="inlineStr">
        <is>
          <t>Vendido</t>
        </is>
      </c>
      <c r="D170" s="4" t="inlineStr">
        <is>
          <t>45</t>
        </is>
      </c>
      <c r="E170" s="5" t="inlineStr">
        <is>
          <t>39.000,00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=HYPERLINK("https://rossileiloes.com.br/lote/detalhe/7484", "195")</f>
      </c>
      <c r="B171" s="4" t="s">
        <f>=HYPERLINK("https://rossileiloes.com.br/lote/detalhe/7484", " Trator Valtra BH 180 4x4 - Ano 2007 - C/ Cabine S/ Patr.  S/SERIE  LOCAL:  UJU . Patrim, 21071")</f>
      </c>
      <c r="C171" s="4" t="inlineStr">
        <is>
          <t>Vendido</t>
        </is>
      </c>
      <c r="D171" s="4" t="inlineStr">
        <is>
          <t>42</t>
        </is>
      </c>
      <c r="E171" s="5" t="inlineStr">
        <is>
          <t>38.000,00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=HYPERLINK("https://rossileiloes.com.br/lote/detalhe/7486", "196")</f>
      </c>
      <c r="B172" s="4" t="s">
        <f>=HYPERLINK("https://rossileiloes.com.br/lote/detalhe/7486", " Trator Valtra BH 180 4x4 - Ano 2007 - C/ Cabine S/ Patr.  SERIE BH18 4736973  LOCAL:  UJU . Patrim, 21072")</f>
      </c>
      <c r="C172" s="4" t="inlineStr">
        <is>
          <t>Vendido</t>
        </is>
      </c>
      <c r="D172" s="4" t="inlineStr">
        <is>
          <t>30</t>
        </is>
      </c>
      <c r="E172" s="5" t="inlineStr">
        <is>
          <t>37.500,00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=HYPERLINK("https://rossileiloes.com.br/lote/detalhe/7482", "197")</f>
      </c>
      <c r="B173" s="4" t="s">
        <f>=HYPERLINK("https://rossileiloes.com.br/lote/detalhe/7482", "Prentice T 280 Blount - Ano 2005 ; MOTOR PRENTICE RECUPERADO - 1 PÇ;  UNIDADE INJETORA PRENTICE 2280 4945969 (PEÇAS MONTADAS NO ITEM 17320) - 6 PÇS  E   BICO INJETOR PRENTICE RECUPERADO (6 PEÇAS MONTADAS NO ITEM 17320 E 3 PEÇAS SOLTAS) - 9 PÇS SERIE: D280PR59765  LOCAL: UJU. Patrim, 20497")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21.000,00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=HYPERLINK("https://rossileiloes.com.br/lote/detalhe/7485", "198")</f>
      </c>
      <c r="B174" s="4" t="s">
        <f>=HYPERLINK("https://rossileiloes.com.br/lote/detalhe/7485", " LOTE COM:  Prentice T 280 Blount - Ano 2006; MOTOR STAFFA  EXACT POWER PRENTICE RECUPERADO - 1 PÇ;  PINHAO MOTOR STAFF PRENTICE RECUPERADO 30009749 (ACOPLADO AO ITEM 08112) - 1 PÇ.  SERIE: D280PR59880 LOCAL: UJU. Patrim, 20539")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35.000,00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=HYPERLINK("https://rossileiloes.com.br/lote/detalhe/7488", "199")</f>
      </c>
      <c r="B175" s="4" t="s">
        <f>=HYPERLINK("https://rossileiloes.com.br/lote/detalhe/7488", " LOTE COM :  Prentice T 310 E - Ano 1998;  MOTOR STAFF PRENTICE RECUPERADO - 1 PÇ;   KIT VEDACAO COMPLETO MOTOR STAFA PRENTICE 3003 - 1 PÇ.  SERIE: Z206799 LOCAL: UJU. Patrim, 20583")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35.000,00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=HYPERLINK("https://rossileiloes.com.br/lote/detalhe/7490", "200")</f>
      </c>
      <c r="B176" s="4" t="s">
        <f>=HYPERLINK("https://rossileiloes.com.br/lote/detalhe/7490", " LOTE COM:  Prentice T 2280 Blount - Ano 2006  E PEÇAS DIVERSAS CONF. RELAÇÃO 200 ( ANEXO) .  SERIE: 2280PR61949 LOCAL: UJU. Patrim, 20770")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35.000,00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=HYPERLINK("https://rossileiloes.com.br/lote/detalhe/7493", "201")</f>
      </c>
      <c r="B177" s="4" t="s">
        <f>=HYPERLINK("https://rossileiloes.com.br/lote/detalhe/7493", " LOTE COM:  Prentice T 2280 Blount - Ano 2006  E PEÇAS DIVERSAS CONF. RELAÇÃO 201 ( ANEXO) .  SERIE: 2280PR63101 LOCAL: UJU. Patrim, 20771")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35.000,00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=HYPERLINK("https://rossileiloes.com.br/lote/detalhe/7487", "202")</f>
      </c>
      <c r="B178" s="4" t="s">
        <f>=HYPERLINK("https://rossileiloes.com.br/lote/detalhe/7487", " LOTE COM :  Prentice T 2280 Blount - Ano 2006   E PEÇAS DIVERSAS CONF. RELAÇÃO 202 ( ANEXO) .  SERIE: 2280PR63081 LOCAL: UJU. Patrim, 20772")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35.000,00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=HYPERLINK("https://rossileiloes.com.br/lote/detalhe/7491", "203")</f>
      </c>
      <c r="B179" s="4" t="s">
        <f>=HYPERLINK("https://rossileiloes.com.br/lote/detalhe/7491", " LOTE COM:  Prentice T 2280 Blount - Ano 2006   E PEÇAS DIVERSAS CONF. RELAÇÃO 203 ( ANEXO) .  SERIE: 2280PR63097 LOCAL: UJU. Patrim, 20773")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35.000,00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=HYPERLINK("https://rossileiloes.com.br/lote/detalhe/7489", "204")</f>
      </c>
      <c r="B180" s="4" t="s">
        <f>=HYPERLINK("https://rossileiloes.com.br/lote/detalhe/7489", " LOTE COM:  Prentice T 2280 Blount - Ano 2008    E PEÇAS DIVERSAS CONF. RELAÇÃO 204 ( ANEXO) .   SERIE: 2280PR63448  LOCAL: UJU. Patrim, 20834")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35.000,00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=HYPERLINK("https://rossileiloes.com.br/lote/detalhe/7492", "205")</f>
      </c>
      <c r="B181" s="4" t="s">
        <f>=HYPERLINK("https://rossileiloes.com.br/lote/detalhe/7492", " LOTE COM:   Prentice T 2280 Blount - Ano 2008  E PEÇAS DIVERSAS CONF. RELAÇÃO 205 ( ANEXO) .   SERIE: 2280PR63454  LOCAL: UJU. Patrim, 20835")</f>
      </c>
      <c r="C181" s="4" t="inlineStr">
        <is>
          <t>Não vendido</t>
        </is>
      </c>
      <c r="D181" s="4" t="inlineStr">
        <is>
          <t>1</t>
        </is>
      </c>
      <c r="E181" s="5" t="inlineStr">
        <is>
          <t>35.000,00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=HYPERLINK("https://rossileiloes.com.br/lote/detalhe/7498", "206")</f>
      </c>
      <c r="B182" s="4" t="s">
        <f>=HYPERLINK("https://rossileiloes.com.br/lote/detalhe/7498", " Transbordo Cana Int Usicamp - Ano 1998 S/SERIE LOCAL:  UJU . Patrim, 50238")</f>
      </c>
      <c r="C182" s="4" t="inlineStr">
        <is>
          <t>Vendido</t>
        </is>
      </c>
      <c r="D182" s="4" t="inlineStr">
        <is>
          <t>7</t>
        </is>
      </c>
      <c r="E182" s="5" t="inlineStr">
        <is>
          <t>2.500,00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=HYPERLINK("https://rossileiloes.com.br/lote/detalhe/7499", "209")</f>
      </c>
      <c r="B183" s="4" t="s">
        <f>=HYPERLINK("https://rossileiloes.com.br/lote/detalhe/7499", " Transbordo Cana Int Usicamp - Ano 1997 - S/RODA E S/PNEU SERIE: RTC/US/8T-013 LOCAL:  UJU . Patrim, 50401")</f>
      </c>
      <c r="C183" s="4" t="inlineStr">
        <is>
          <t>Não vendido</t>
        </is>
      </c>
      <c r="D183" s="4" t="inlineStr">
        <is>
          <t>2</t>
        </is>
      </c>
      <c r="E183" s="5" t="inlineStr">
        <is>
          <t>800,00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=HYPERLINK("https://rossileiloes.com.br/lote/detalhe/7497", "210")</f>
      </c>
      <c r="B184" s="4" t="s">
        <f>=HYPERLINK("https://rossileiloes.com.br/lote/detalhe/7497", " Transbordo Cana Int Usicamp - Ano 1997 - S/RODA E S/PNEU SERIE: RTC/US/8T-014 LOCAL:  UJU . Patrim, 50402")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700,00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=HYPERLINK("https://rossileiloes.com.br/lote/detalhe/7494", "211")</f>
      </c>
      <c r="B185" s="4" t="s">
        <f>=HYPERLINK("https://rossileiloes.com.br/lote/detalhe/7494", " Transbordo Cana Int Usicamp - Ano 1997 - S/RODA E S/PNEU SERIE: RTC/US/8T-016 LOCAL:  UJU . Patrim, 50404")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700,00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=HYPERLINK("https://rossileiloes.com.br/lote/detalhe/7496", "212")</f>
      </c>
      <c r="B186" s="4" t="s">
        <f>=HYPERLINK("https://rossileiloes.com.br/lote/detalhe/7496", " Transbordo Cana Int Usicamp - Ano 1997 - S/RODA E S/PNEU SERIE: RTC/US/8T-018 LOCAL:  UJU . Patrim, 50406")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700,00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=HYPERLINK("https://rossileiloes.com.br/lote/detalhe/7495", "213")</f>
      </c>
      <c r="B187" s="4" t="s">
        <f>=HYPERLINK("https://rossileiloes.com.br/lote/detalhe/7495", " Transbordo Cana Int Usicamp - Ano 1997 - S/RODA E S/PNEU SERIE: RTC/US/8T-021 LOCAL:  UJU . Patrim, 50409")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700,00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=HYPERLINK("https://rossileiloes.com.br/lote/detalhe/7502", "214")</f>
      </c>
      <c r="B188" s="4" t="s">
        <f>=HYPERLINK("https://rossileiloes.com.br/lote/detalhe/7502", " Transbordo Cana Int Usicamp - Ano 1997 - S/RODA E S/PNEU SERIE: RTC/US/8T-022 LOCAL:  UJU . Patrim, 50410")</f>
      </c>
      <c r="C188" s="4" t="inlineStr">
        <is>
          <t>Não vendido</t>
        </is>
      </c>
      <c r="D188" s="4" t="inlineStr">
        <is>
          <t>2</t>
        </is>
      </c>
      <c r="E188" s="5" t="inlineStr">
        <is>
          <t>800,00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=HYPERLINK("https://rossileiloes.com.br/lote/detalhe/7500", "215")</f>
      </c>
      <c r="B189" s="4" t="s">
        <f>=HYPERLINK("https://rossileiloes.com.br/lote/detalhe/7500", " Transbordo Cana Int Usicamp - Ano 1997 - S/RODA E S/PNEU SERIE: RTC/US/8T-036 LOCAL:  UJU . Patrim, 50412")</f>
      </c>
      <c r="C189" s="4" t="inlineStr">
        <is>
          <t>Vendido</t>
        </is>
      </c>
      <c r="D189" s="4" t="inlineStr">
        <is>
          <t>6</t>
        </is>
      </c>
      <c r="E189" s="5" t="inlineStr">
        <is>
          <t>1.200,00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=HYPERLINK("https://rossileiloes.com.br/lote/detalhe/7501", "216")</f>
      </c>
      <c r="B190" s="4" t="s">
        <f>=HYPERLINK("https://rossileiloes.com.br/lote/detalhe/7501", " Transbordo Cana Int Usicamp - Ano 1997 - S/RODA E S/PNEU SERIE: RTC/US/8T-037 LOCAL:  UJU . Patrim, 50413")</f>
      </c>
      <c r="C190" s="4" t="inlineStr">
        <is>
          <t>Vendido</t>
        </is>
      </c>
      <c r="D190" s="4" t="inlineStr">
        <is>
          <t>6</t>
        </is>
      </c>
      <c r="E190" s="5" t="inlineStr">
        <is>
          <t>1.200,00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=HYPERLINK("https://rossileiloes.com.br/lote/detalhe/7504", "217")</f>
      </c>
      <c r="B191" s="4" t="s">
        <f>=HYPERLINK("https://rossileiloes.com.br/lote/detalhe/7504", " Transbordo Cana Int. Urso Ano 1999 - S/RODA E S/PNEU SERIE: 172375 LOCAL:  UJU . Patrim, 50492")</f>
      </c>
      <c r="C191" s="4" t="inlineStr">
        <is>
          <t>Não vendido</t>
        </is>
      </c>
      <c r="D191" s="4" t="inlineStr">
        <is>
          <t>1</t>
        </is>
      </c>
      <c r="E191" s="5" t="inlineStr">
        <is>
          <t>700,00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=HYPERLINK("https://rossileiloes.com.br/lote/detalhe/7503", "218")</f>
      </c>
      <c r="B192" s="4" t="s">
        <f>=HYPERLINK("https://rossileiloes.com.br/lote/detalhe/7503", " Transbordo Cana Int. Urso Ano 1999 - S/RODA E S/PNEU SERIE: 172368 LOCAL:  UJU . Patrim, 50493")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700,00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=HYPERLINK("https://rossileiloes.com.br/lote/detalhe/7508", "219")</f>
      </c>
      <c r="B193" s="4" t="s">
        <f>=HYPERLINK("https://rossileiloes.com.br/lote/detalhe/7508", " Transbordo Cana Int. Usicamp Ano 1999 - S/RODA E S/PNEU SERIE: 17230-4-97 LOCAL:  UJU . Patrim, 50499")</f>
      </c>
      <c r="C193" s="4" t="inlineStr">
        <is>
          <t>Não vendido</t>
        </is>
      </c>
      <c r="D193" s="4" t="inlineStr">
        <is>
          <t>1</t>
        </is>
      </c>
      <c r="E193" s="5" t="inlineStr">
        <is>
          <t>700,00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=HYPERLINK("https://rossileiloes.com.br/lote/detalhe/7505", "220")</f>
      </c>
      <c r="B194" s="4" t="s">
        <f>=HYPERLINK("https://rossileiloes.com.br/lote/detalhe/7505", " Transbordo Cana Int. Damasceno Ano 1997 - S/RODA ES/PNEU SERIE: 172199 LOCAL:  UJU . Patrim, 50502")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700,00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=HYPERLINK("https://rossileiloes.com.br/lote/detalhe/7506", "221")</f>
      </c>
      <c r="B195" s="4" t="s">
        <f>=HYPERLINK("https://rossileiloes.com.br/lote/detalhe/7506", " Transbordo Cana Int. Urso Ano 1999 - S/RODA E S/PNEU SERIE: 172262 LOCAL:  UJU . Patrim, 50511")</f>
      </c>
      <c r="C195" s="4" t="inlineStr">
        <is>
          <t>Vendido</t>
        </is>
      </c>
      <c r="D195" s="4" t="inlineStr">
        <is>
          <t>8</t>
        </is>
      </c>
      <c r="E195" s="5" t="inlineStr">
        <is>
          <t>1.400,00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=HYPERLINK("https://rossileiloes.com.br/lote/detalhe/7507", "222")</f>
      </c>
      <c r="B196" s="4" t="s">
        <f>=HYPERLINK("https://rossileiloes.com.br/lote/detalhe/7507", " Transbordo Cana Int. Urso Ano 1997 - S/RODA E S/PNEU SERIE: 172351 LOCAL:  UJU . Patrim, 50514")</f>
      </c>
      <c r="C196" s="4" t="inlineStr">
        <is>
          <t>Vendido</t>
        </is>
      </c>
      <c r="D196" s="4" t="inlineStr">
        <is>
          <t>21</t>
        </is>
      </c>
      <c r="E196" s="5" t="inlineStr">
        <is>
          <t>2.700,00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=HYPERLINK("https://rossileiloes.com.br/lote/detalhe/7510", "223")</f>
      </c>
      <c r="B197" s="4" t="s">
        <f>=HYPERLINK("https://rossileiloes.com.br/lote/detalhe/7510", " Transbordo Cana Int Usicamp - Ano 1997 - S/RODA E S/PNEU SERIE: 172287 LOCAL:  UJU . Patrim, 50516")</f>
      </c>
      <c r="C197" s="4" t="inlineStr">
        <is>
          <t>Vendido</t>
        </is>
      </c>
      <c r="D197" s="4" t="inlineStr">
        <is>
          <t>18</t>
        </is>
      </c>
      <c r="E197" s="5" t="inlineStr">
        <is>
          <t>2.400,00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=HYPERLINK("https://rossileiloes.com.br/lote/detalhe/7509", "224")</f>
      </c>
      <c r="B198" s="4" t="s">
        <f>=HYPERLINK("https://rossileiloes.com.br/lote/detalhe/7509", " Transbordo Cana Int. Usicamp Ano 2002 - S/RODA E S/PNEU SERIE: 000141 LOCAL:  UJU . Patrim, 50644")</f>
      </c>
      <c r="C198" s="4" t="inlineStr">
        <is>
          <t>Vendido</t>
        </is>
      </c>
      <c r="D198" s="4" t="inlineStr">
        <is>
          <t>20</t>
        </is>
      </c>
      <c r="E198" s="5" t="inlineStr">
        <is>
          <t>2.600,00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=HYPERLINK("https://rossileiloes.com.br/lote/detalhe/7512", "225")</f>
      </c>
      <c r="B199" s="4" t="s">
        <f>=HYPERLINK("https://rossileiloes.com.br/lote/detalhe/7512", " Semi Reboque Cana Picada Randon - Ano 1986 -  FAZENDO A BAIXA - SUCATA. Veiculo sem documento, aproveitamento para desmanche PLACA:  AIR-6982  CHASSI: 201471134REM LOCAL:  UJU . Patrim, 60039")</f>
      </c>
      <c r="C199" s="4" t="inlineStr">
        <is>
          <t>Não vendido</t>
        </is>
      </c>
      <c r="D199" s="4" t="inlineStr">
        <is>
          <t>10</t>
        </is>
      </c>
      <c r="E199" s="5" t="inlineStr">
        <is>
          <t>3.250,00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=HYPERLINK("https://rossileiloes.com.br/lote/detalhe/7515", "226")</f>
      </c>
      <c r="B200" s="4" t="s">
        <f>=HYPERLINK("https://rossileiloes.com.br/lote/detalhe/7515", " Reboque Randon - Reb. Abastecimento - Ano 1996 PLACA:  AGK-5331  CHASSI: 9ADD08220TS121350 LOCAL:  UJU . Patrim, 60180")</f>
      </c>
      <c r="C200" s="4" t="inlineStr">
        <is>
          <t>Vendido</t>
        </is>
      </c>
      <c r="D200" s="4" t="inlineStr">
        <is>
          <t>2</t>
        </is>
      </c>
      <c r="E200" s="5" t="inlineStr">
        <is>
          <t>9.000,00</t>
        </is>
      </c>
      <c r="F200" s="4" t="inlineStr">
        <is>
          <t>500.00</t>
        </is>
      </c>
    </row>
    <row collapsed="false" customFormat="false" customHeight="false" hidden="false" ht="12.1" outlineLevel="0" r="201">
      <c r="A201" s="5" t="s">
        <f>=HYPERLINK("https://rossileiloes.com.br/lote/detalhe/7514", "227")</f>
      </c>
      <c r="B201" s="4" t="s">
        <f>=HYPERLINK("https://rossileiloes.com.br/lote/detalhe/7514", " Carreta de Torta de Filtro DMB - Ano 1997 S/SERIE LOCAL:  UJU . Patrim, 50224")</f>
      </c>
      <c r="C201" s="4" t="inlineStr">
        <is>
          <t>Vendido</t>
        </is>
      </c>
      <c r="D201" s="4" t="inlineStr">
        <is>
          <t>1</t>
        </is>
      </c>
      <c r="E201" s="5" t="inlineStr">
        <is>
          <t>3.000,00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=HYPERLINK("https://rossileiloes.com.br/lote/detalhe/7511", "228")</f>
      </c>
      <c r="B202" s="4" t="s">
        <f>=HYPERLINK("https://rossileiloes.com.br/lote/detalhe/7511", " Carreta de Torta de Filtro DMB - Ano 1997 S/SERIE LOCAL:  UJU . Patrim, 50225")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3.000,00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=HYPERLINK("https://rossileiloes.com.br/lote/detalhe/7513", "229")</f>
      </c>
      <c r="B203" s="4" t="s">
        <f>=HYPERLINK("https://rossileiloes.com.br/lote/detalhe/7513", " Carreta de Torta de Filtro DMB - Ano 1997 S/SERIE LOCAL:  UJU . Patrim, 50815")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=HYPERLINK("https://rossileiloes.com.br/lote/detalhe/7516", "230")</f>
      </c>
      <c r="B204" s="4" t="s">
        <f>=HYPERLINK("https://rossileiloes.com.br/lote/detalhe/7516", " Desenleirador Palhas DMB - Ano 2006 SERIE: 69585 LOCAL:  UJU . Patrim, 50890")</f>
      </c>
      <c r="C204" s="4" t="inlineStr">
        <is>
          <t>Vendido</t>
        </is>
      </c>
      <c r="D204" s="4" t="inlineStr">
        <is>
          <t>2</t>
        </is>
      </c>
      <c r="E204" s="5" t="inlineStr">
        <is>
          <t>2.250,00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=HYPERLINK("https://rossileiloes.com.br/lote/detalhe/7517", "231")</f>
      </c>
      <c r="B205" s="4" t="s">
        <f>=HYPERLINK("https://rossileiloes.com.br/lote/detalhe/7517", " Distribuidor Adubo/Calcario Serrana - Ano 2006 SERIE: 0136 LOCAL:  UJU . Patrim, 50943")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5.000,00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=HYPERLINK("https://rossileiloes.com.br/lote/detalhe/7520", "232")</f>
      </c>
      <c r="B206" s="4" t="s">
        <f>=HYPERLINK("https://rossileiloes.com.br/lote/detalhe/7520", " Distribuidor Adubo/Calcario Serrana - Ano 2008 SERIE: 01006 LOCAL:  UJU . Patrim, 51045")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=HYPERLINK("https://rossileiloes.com.br/lote/detalhe/7518", "233")</f>
      </c>
      <c r="B207" s="4" t="s">
        <f>=HYPERLINK("https://rossileiloes.com.br/lote/detalhe/7518", " Distribuidor Adubo/Calcario Sermag - Ano 2009 SERIE: 01011 LOCAL:  UJU . Patrim, 51087")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5.000,00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=HYPERLINK("https://rossileiloes.com.br/lote/detalhe/7521", "234")</f>
      </c>
      <c r="B208" s="4" t="s">
        <f>=HYPERLINK("https://rossileiloes.com.br/lote/detalhe/7521", " Grade Tatu Marchesan Media - Ano 2007 S/SERIE LOCAL:  UJU . Patrim, 50975")</f>
      </c>
      <c r="C208" s="4" t="inlineStr">
        <is>
          <t>Vendido</t>
        </is>
      </c>
      <c r="D208" s="4" t="inlineStr">
        <is>
          <t>51</t>
        </is>
      </c>
      <c r="E208" s="5" t="inlineStr">
        <is>
          <t>17.750,00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=HYPERLINK("https://rossileiloes.com.br/lote/detalhe/7519", "235")</f>
      </c>
      <c r="B209" s="4" t="s">
        <f>=HYPERLINK("https://rossileiloes.com.br/lote/detalhe/7519", " Grade Pesada Tatu Marchesan Ano 1996 - S/nr. Patr. S/SERIE LOCAL: UJU. Patrim, 50185")</f>
      </c>
      <c r="C209" s="4" t="inlineStr">
        <is>
          <t>Vendido</t>
        </is>
      </c>
      <c r="D209" s="4" t="inlineStr">
        <is>
          <t>58</t>
        </is>
      </c>
      <c r="E209" s="5" t="inlineStr">
        <is>
          <t>20.000,00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=HYPERLINK("https://rossileiloes.com.br/lote/detalhe/7522", "236")</f>
      </c>
      <c r="B210" s="4" t="s">
        <f>=HYPERLINK("https://rossileiloes.com.br/lote/detalhe/7522", " Grade Pesada Tatu Marchesan Ano 2001 - S/nr. Patr. SERIE S-0493 - 16x32 LOCAL: UJU. Patrim, 50539")</f>
      </c>
      <c r="C210" s="4" t="inlineStr">
        <is>
          <t>Vendido</t>
        </is>
      </c>
      <c r="D210" s="4" t="inlineStr">
        <is>
          <t>41</t>
        </is>
      </c>
      <c r="E210" s="5" t="inlineStr">
        <is>
          <t>15.250,00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=HYPERLINK("https://rossileiloes.com.br/lote/detalhe/7525", "237")</f>
      </c>
      <c r="B211" s="4" t="s">
        <f>=HYPERLINK("https://rossileiloes.com.br/lote/detalhe/7525", " Grade Tatu Marchesan Pesada - Ano 2003 SERIE: 0501044338-493/4708 LOCAL:  UJU . Patrim, 50697")</f>
      </c>
      <c r="C211" s="4" t="inlineStr">
        <is>
          <t>Vendido</t>
        </is>
      </c>
      <c r="D211" s="4" t="inlineStr">
        <is>
          <t>34</t>
        </is>
      </c>
      <c r="E211" s="5" t="inlineStr">
        <is>
          <t>13.500,00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=HYPERLINK("https://rossileiloes.com.br/lote/detalhe/7523", "238")</f>
      </c>
      <c r="B212" s="4" t="s">
        <f>=HYPERLINK("https://rossileiloes.com.br/lote/detalhe/7523", " Roçadeira Tatu Marchesan - Ano 2000 S/Nr. Patr. S/SERIE LOCAL: UJU. Patrim, 51318")</f>
      </c>
      <c r="C212" s="4" t="inlineStr">
        <is>
          <t>Não vendido</t>
        </is>
      </c>
      <c r="D212" s="4" t="inlineStr">
        <is>
          <t>11</t>
        </is>
      </c>
      <c r="E212" s="5" t="inlineStr">
        <is>
          <t>3.750,00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=HYPERLINK("https://rossileiloes.com.br/lote/detalhe/7524", "239")</f>
      </c>
      <c r="B213" s="4" t="s">
        <f>=HYPERLINK("https://rossileiloes.com.br/lote/detalhe/7524", " Picador Desintegrador JM TRCA 2500 - Ano 2005 SERIE: JM TRCA 2500 LOCAL:  UJU . Patrim, 50776")</f>
      </c>
      <c r="C213" s="4" t="inlineStr">
        <is>
          <t>Vendido</t>
        </is>
      </c>
      <c r="D213" s="4" t="inlineStr">
        <is>
          <t>40</t>
        </is>
      </c>
      <c r="E213" s="5" t="inlineStr">
        <is>
          <t>4.600,00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=HYPERLINK("https://rossileiloes.com.br/lote/detalhe/7526", "240")</f>
      </c>
      <c r="B214" s="4" t="s">
        <f>=HYPERLINK("https://rossileiloes.com.br/lote/detalhe/7526", "  10  unid. Balizadores Banquetas Civemasa Ano 2000 e 2001  S/N LOCAL: UJU. ")</f>
      </c>
      <c r="C214" s="4" t="inlineStr">
        <is>
          <t>Vendido</t>
        </is>
      </c>
      <c r="D214" s="4" t="inlineStr">
        <is>
          <t>1</t>
        </is>
      </c>
      <c r="E214" s="5" t="inlineStr">
        <is>
          <t>300,00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=HYPERLINK("https://rossileiloes.com.br/lote/detalhe/7531", "243")</f>
      </c>
      <c r="B215" s="4" t="s">
        <f>=HYPERLINK("https://rossileiloes.com.br/lote/detalhe/7531", " Pulverizador Stara Tittan 1200 - Desseca - Ano 2006 SERIE: 0025 LOCAL:  UJU . Patrim, 50862")</f>
      </c>
      <c r="C215" s="4" t="inlineStr">
        <is>
          <t>Vendido</t>
        </is>
      </c>
      <c r="D215" s="4" t="inlineStr">
        <is>
          <t>22</t>
        </is>
      </c>
      <c r="E215" s="5" t="inlineStr">
        <is>
          <t>9.000,00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=HYPERLINK("https://rossileiloes.com.br/lote/detalhe/7527", "245")</f>
      </c>
      <c r="B216" s="4" t="s">
        <f>=HYPERLINK("https://rossileiloes.com.br/lote/detalhe/7527", " Pulverizador PJ 800 - Herb-Dessec - Ano 2000 S/SERIE LOCAL:  UJU . Patrim, 51314")</f>
      </c>
      <c r="C216" s="4" t="inlineStr">
        <is>
          <t>Vendido</t>
        </is>
      </c>
      <c r="D216" s="4" t="inlineStr">
        <is>
          <t>3</t>
        </is>
      </c>
      <c r="E216" s="5" t="inlineStr">
        <is>
          <t>2.500,00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=HYPERLINK("https://rossileiloes.com.br/lote/detalhe/7529", "247")</f>
      </c>
      <c r="B217" s="4" t="s">
        <f>=HYPERLINK("https://rossileiloes.com.br/lote/detalhe/7529", " Subsolador Stara Mod. 934 - Ano 1998  SERIE ASA-CR-DCR-00/090  LOCAL:  UJU . Patrim, 50452")</f>
      </c>
      <c r="C217" s="4" t="inlineStr">
        <is>
          <t>Não vendido</t>
        </is>
      </c>
      <c r="D217" s="4" t="inlineStr">
        <is>
          <t>37</t>
        </is>
      </c>
      <c r="E217" s="5" t="inlineStr">
        <is>
          <t>11.000,00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=HYPERLINK("https://rossileiloes.com.br/lote/detalhe/7528", "248")</f>
      </c>
      <c r="B218" s="4" t="s">
        <f>=HYPERLINK("https://rossileiloes.com.br/lote/detalhe/7528", " Subsolador Civemasa - Ano 2001 SERIE: 010015 LOCAL:  UJU . Patrim, 50617")</f>
      </c>
      <c r="C218" s="4" t="inlineStr">
        <is>
          <t>Vendido</t>
        </is>
      </c>
      <c r="D218" s="4" t="inlineStr">
        <is>
          <t>23</t>
        </is>
      </c>
      <c r="E218" s="5" t="inlineStr">
        <is>
          <t>8.000,00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=HYPERLINK("https://rossileiloes.com.br/lote/detalhe/7530", "250")</f>
      </c>
      <c r="B219" s="4" t="s">
        <f>=HYPERLINK("https://rossileiloes.com.br/lote/detalhe/7530", " Sulcador Adubador Civemasa - Ano 2001 S/SERIE LOCAL:  UJU Patrim, 50626")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1.750,00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=HYPERLINK("https://rossileiloes.com.br/lote/detalhe/7532", "251")</f>
      </c>
      <c r="B220" s="4" t="s">
        <f>=HYPERLINK("https://rossileiloes.com.br/lote/detalhe/7532", " Sulcador Sollus - Ano 2005 SERIE: 11359 LOCAL:  UJU. Patrim, 50781")</f>
      </c>
      <c r="C220" s="4" t="inlineStr">
        <is>
          <t>Vendido</t>
        </is>
      </c>
      <c r="D220" s="4" t="inlineStr">
        <is>
          <t>2</t>
        </is>
      </c>
      <c r="E220" s="5" t="inlineStr">
        <is>
          <t>600,00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=HYPERLINK("https://rossileiloes.com.br/lote/detalhe/7534", "252")</f>
      </c>
      <c r="B221" s="4" t="s">
        <f>=HYPERLINK("https://rossileiloes.com.br/lote/detalhe/7534", " Sulcador Sollus - Ano 2006 SERIE: 11811  LOCAL:  UJU . Patrim. 50903")</f>
      </c>
      <c r="C221" s="4" t="inlineStr">
        <is>
          <t>Vendido</t>
        </is>
      </c>
      <c r="D221" s="4" t="inlineStr">
        <is>
          <t>6</t>
        </is>
      </c>
      <c r="E221" s="5" t="inlineStr">
        <is>
          <t>1.000,00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=HYPERLINK("https://rossileiloes.com.br/lote/detalhe/7535", "253")</f>
      </c>
      <c r="B222" s="4" t="s">
        <f>=HYPERLINK("https://rossileiloes.com.br/lote/detalhe/7535", " Terraceador Civemasa - Ano 2002 SERIE: 02007 LOCAL:  UJU Patrim, 50666")</f>
      </c>
      <c r="C222" s="4" t="inlineStr">
        <is>
          <t>Vendido</t>
        </is>
      </c>
      <c r="D222" s="4" t="inlineStr">
        <is>
          <t>17</t>
        </is>
      </c>
      <c r="E222" s="5" t="inlineStr">
        <is>
          <t>7.500,00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=HYPERLINK("https://rossileiloes.com.br/lote/detalhe/7541", "254")</f>
      </c>
      <c r="B223" s="4" t="s">
        <f>=HYPERLINK("https://rossileiloes.com.br/lote/detalhe/7541", " Terraceador Civemasa - Ano 2003 SERIE: 3026 LOCAL:  UJU . Patrim. 50712")</f>
      </c>
      <c r="C223" s="4" t="inlineStr">
        <is>
          <t>Vendido</t>
        </is>
      </c>
      <c r="D223" s="4" t="inlineStr">
        <is>
          <t>55</t>
        </is>
      </c>
      <c r="E223" s="5" t="inlineStr">
        <is>
          <t>17.000,00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=HYPERLINK("https://rossileiloes.com.br/lote/detalhe/7536", "255")</f>
      </c>
      <c r="B224" s="4" t="s">
        <f>=HYPERLINK("https://rossileiloes.com.br/lote/detalhe/7536", " Carroceria Comboio Pressurizado C/parelho Abast. / lubrificação - JAB 600 lts. - Ano 2011 LOCAL:  UJU . Patrim. 41589")</f>
      </c>
      <c r="C224" s="4" t="inlineStr">
        <is>
          <t>Vendido</t>
        </is>
      </c>
      <c r="D224" s="4" t="inlineStr">
        <is>
          <t>1</t>
        </is>
      </c>
      <c r="E224" s="5" t="inlineStr">
        <is>
          <t>2.500,00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=HYPERLINK("https://rossileiloes.com.br/lote/detalhe/7533", "256")</f>
      </c>
      <c r="B225" s="4" t="s">
        <f>=HYPERLINK("https://rossileiloes.com.br/lote/detalhe/7533", " Carroceria Comboio Patr. 40352 Contendo 1-Caixa Oleo - 1-Tambor Oleo 5lts. - 1-Tambor Oleo 200lts. 3-Tambor 35lts. 1-Tanque Plastico Combustivel 1-Caixa Oleo Queimado.  LOCAL: UJU. Patrim. 40352")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2.000,00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=HYPERLINK("https://rossileiloes.com.br/lote/detalhe/7540", "257")</f>
      </c>
      <c r="B226" s="4" t="s">
        <f>=HYPERLINK("https://rossileiloes.com.br/lote/detalhe/7540", " Carroceria Comboio S/Patr. - Do Frota 10584 S/ SERIE LOCAL: UJU")</f>
      </c>
      <c r="C226" s="4" t="inlineStr">
        <is>
          <t>Vendido</t>
        </is>
      </c>
      <c r="D226" s="4" t="inlineStr">
        <is>
          <t>1</t>
        </is>
      </c>
      <c r="E226" s="5" t="inlineStr">
        <is>
          <t>2.000,00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=HYPERLINK("https://rossileiloes.com.br/lote/detalhe/7537", "258")</f>
      </c>
      <c r="B227" s="4" t="s">
        <f>=HYPERLINK("https://rossileiloes.com.br/lote/detalhe/7537", " Carroceria Prancha (S/Tampas Laterais) Patr. 40474 S/ SERIE LOCAL: UJU")</f>
      </c>
      <c r="C227" s="4" t="inlineStr">
        <is>
          <t>Vendido</t>
        </is>
      </c>
      <c r="D227" s="4" t="inlineStr">
        <is>
          <t>9</t>
        </is>
      </c>
      <c r="E227" s="5" t="inlineStr">
        <is>
          <t>3.250,00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=HYPERLINK("https://rossileiloes.com.br/lote/detalhe/7539", "259")</f>
      </c>
      <c r="B228" s="4" t="s">
        <f>=HYPERLINK("https://rossileiloes.com.br/lote/detalhe/7539", " Carreta Fechada Halley - Ano 1997 S/ SERIE LOCAL: UJU. Patrim 50411")</f>
      </c>
      <c r="C228" s="4" t="inlineStr">
        <is>
          <t>Vendido</t>
        </is>
      </c>
      <c r="D228" s="4" t="inlineStr">
        <is>
          <t>12</t>
        </is>
      </c>
      <c r="E228" s="5" t="inlineStr">
        <is>
          <t>4.250,00</t>
        </is>
      </c>
      <c r="F228" s="4" t="inlineStr">
        <is>
          <t>250.00</t>
        </is>
      </c>
    </row>
    <row collapsed="false" customFormat="false" customHeight="false" hidden="false" ht="12.1" outlineLevel="0" r="229">
      <c r="A229" s="5" t="s">
        <f>=HYPERLINK("https://rossileiloes.com.br/lote/detalhe/7542", "261")</f>
      </c>
      <c r="B229" s="4" t="s">
        <f>=HYPERLINK("https://rossileiloes.com.br/lote/detalhe/7542", " 06 UNID.  Rastelo Rotativo Santal DIVERSOS MODELOS.  LOCAL: UJU")</f>
      </c>
      <c r="C229" s="4" t="inlineStr">
        <is>
          <t>Vendido</t>
        </is>
      </c>
      <c r="D229" s="4" t="inlineStr">
        <is>
          <t>1</t>
        </is>
      </c>
      <c r="E229" s="5" t="inlineStr">
        <is>
          <t>1.500,00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=HYPERLINK("https://rossileiloes.com.br/lote/detalhe/7543", "262")</f>
      </c>
      <c r="B230" s="4" t="s">
        <f>=HYPERLINK("https://rossileiloes.com.br/lote/detalhe/7543", " Caixote Canav. Marca Usicamp Larg. 2,50 mts compr. 12,20 mts Alt 3,15 - do reboque 60509 LOCAL: UJU")</f>
      </c>
      <c r="C230" s="4" t="inlineStr">
        <is>
          <t>Não vendido</t>
        </is>
      </c>
      <c r="D230" s="4" t="inlineStr">
        <is>
          <t>6</t>
        </is>
      </c>
      <c r="E230" s="5" t="inlineStr">
        <is>
          <t>2.250,00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=HYPERLINK("https://rossileiloes.com.br/lote/detalhe/7544", "263")</f>
      </c>
      <c r="B231" s="4" t="s">
        <f>=HYPERLINK("https://rossileiloes.com.br/lote/detalhe/7544", " Capota Strada Cor Branca - 1Pç. LOCAL: UJU")</f>
      </c>
      <c r="C231" s="4" t="inlineStr">
        <is>
          <t>Não vendido</t>
        </is>
      </c>
      <c r="D231" s="4" t="inlineStr">
        <is>
          <t>8</t>
        </is>
      </c>
      <c r="E231" s="5" t="inlineStr">
        <is>
          <t>900,00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=HYPERLINK("https://rossileiloes.com.br/lote/detalhe/7545", "264")</f>
      </c>
      <c r="B232" s="4" t="s">
        <f>=HYPERLINK("https://rossileiloes.com.br/lote/detalhe/7545", " COMPARTIMENTOS DE ÓLEO SENDO:  Compartimento de oleo de 200Lts cada - 3-PÇ. ;  Compartimento de oleo de 250Lts - 1-PÇ.;  Compartimento de oleo de 35Lts cada - 28-PÇ.;  Compartimento de oleo de 45Lts cada - 1-PÇ.;  Compartimento de oleo de 80Lts - 1-PÇ.;  Propulsora de óleo - 21-PÇ.  LOCAL:  UJU ")</f>
      </c>
      <c r="C232" s="4" t="inlineStr">
        <is>
          <t>Vendido</t>
        </is>
      </c>
      <c r="D232" s="4" t="inlineStr">
        <is>
          <t>10</t>
        </is>
      </c>
      <c r="E232" s="5" t="inlineStr">
        <is>
          <t>1.400,00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=HYPERLINK("https://rossileiloes.com.br/lote/detalhe/7546", "265")</f>
      </c>
      <c r="B233" s="4" t="s">
        <f>=HYPERLINK("https://rossileiloes.com.br/lote/detalhe/7546", " APROX.  114  MOTORES ELÉTRICOS DIVERSOS CONF. RELAÇÃO 265 ANEXO.  LOCAL: UJU")</f>
      </c>
      <c r="C233" s="4" t="inlineStr">
        <is>
          <t>Vendido</t>
        </is>
      </c>
      <c r="D233" s="4" t="inlineStr">
        <is>
          <t>26</t>
        </is>
      </c>
      <c r="E233" s="5" t="inlineStr">
        <is>
          <t>26.000,00</t>
        </is>
      </c>
      <c r="F233" s="4" t="inlineStr">
        <is>
          <t>500.00</t>
        </is>
      </c>
    </row>
    <row collapsed="false" customFormat="false" customHeight="false" hidden="false" ht="12.1" outlineLevel="0" r="234">
      <c r="A234" s="5" t="s">
        <f>=HYPERLINK("https://rossileiloes.com.br/lote/detalhe/7549", "266")</f>
      </c>
      <c r="B234" s="4" t="s">
        <f>=HYPERLINK("https://rossileiloes.com.br/lote/detalhe/7549", " Valvula Multivias 30" SERIE 5861A12 LOCAL: UJU")</f>
      </c>
      <c r="C234" s="4" t="inlineStr">
        <is>
          <t>Vendido</t>
        </is>
      </c>
      <c r="D234" s="4" t="inlineStr">
        <is>
          <t>1</t>
        </is>
      </c>
      <c r="E234" s="5" t="inlineStr">
        <is>
          <t>500,00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=HYPERLINK("https://rossileiloes.com.br/lote/detalhe/7547", "267")</f>
      </c>
      <c r="B235" s="4" t="s">
        <f>=HYPERLINK("https://rossileiloes.com.br/lote/detalhe/7547", " CAMBIO MBB 2638 usado LOCAL: UJU")</f>
      </c>
      <c r="C235" s="4" t="inlineStr">
        <is>
          <t>Vendido</t>
        </is>
      </c>
      <c r="D235" s="4" t="inlineStr">
        <is>
          <t>20</t>
        </is>
      </c>
      <c r="E235" s="5" t="inlineStr">
        <is>
          <t>2.900,00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=HYPERLINK("https://rossileiloes.com.br/lote/detalhe/7551", "268")</f>
      </c>
      <c r="B236" s="4" t="s">
        <f>=HYPERLINK("https://rossileiloes.com.br/lote/detalhe/7551", " 02 MAQUINAS SOLDA BAMBOZI  - PATR. 441023  E  441023  LOCAL: UJU")</f>
      </c>
      <c r="C236" s="4" t="inlineStr">
        <is>
          <t>Não vendido</t>
        </is>
      </c>
      <c r="D236" s="4" t="inlineStr">
        <is>
          <t>6</t>
        </is>
      </c>
      <c r="E236" s="5" t="inlineStr">
        <is>
          <t>900,00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=HYPERLINK("https://rossileiloes.com.br/lote/detalhe/7548", "269")</f>
      </c>
      <c r="B237" s="4" t="s">
        <f>=HYPERLINK("https://rossileiloes.com.br/lote/detalhe/7548", " Envasadora de Álcool Gel (Monobloco automático rotativo de cilindro volumétrico com 30 bicas, acionado por redutor e  motor). - Patr. A-12273 - 1-Pç. LOCAL: UJU")</f>
      </c>
      <c r="C237" s="4" t="inlineStr">
        <is>
          <t>Vendido</t>
        </is>
      </c>
      <c r="D237" s="4" t="inlineStr">
        <is>
          <t>32</t>
        </is>
      </c>
      <c r="E237" s="5" t="inlineStr">
        <is>
          <t>9.250,00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=HYPERLINK("https://rossileiloes.com.br/lote/detalhe/7550", "270")</f>
      </c>
      <c r="B238" s="4" t="s">
        <f>=HYPERLINK("https://rossileiloes.com.br/lote/detalhe/7550", " 02 UNID.  Boiler Congel 300 Lts.  LOCAL: UJU")</f>
      </c>
      <c r="C238" s="4" t="inlineStr">
        <is>
          <t>Não vendido</t>
        </is>
      </c>
      <c r="D238" s="4" t="inlineStr">
        <is>
          <t>16</t>
        </is>
      </c>
      <c r="E238" s="5" t="inlineStr">
        <is>
          <t>2.000,00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=HYPERLINK("https://rossileiloes.com.br/lote/detalhe/7552", "271")</f>
      </c>
      <c r="B239" s="4" t="s">
        <f>=HYPERLINK("https://rossileiloes.com.br/lote/detalhe/7552", " Motor Estacionario Yanmar - Sucata - 1-Pç. LOCAL: UJU")</f>
      </c>
      <c r="C239" s="4" t="inlineStr">
        <is>
          <t>Vendido</t>
        </is>
      </c>
      <c r="D239" s="4" t="inlineStr">
        <is>
          <t>8</t>
        </is>
      </c>
      <c r="E239" s="5" t="inlineStr">
        <is>
          <t>900,00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=HYPERLINK("https://rossileiloes.com.br/lote/detalhe/7554", "272")</f>
      </c>
      <c r="B240" s="4" t="s">
        <f>=HYPERLINK("https://rossileiloes.com.br/lote/detalhe/7554", " 02 UNID.  Geradores  D5000 Centerbob - Patr. 41695  e 41696 LOCAL: UJU")</f>
      </c>
      <c r="C240" s="4" t="inlineStr">
        <is>
          <t>Vendido</t>
        </is>
      </c>
      <c r="D240" s="4" t="inlineStr">
        <is>
          <t>15</t>
        </is>
      </c>
      <c r="E240" s="5" t="inlineStr">
        <is>
          <t>1.900,00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=HYPERLINK("https://rossileiloes.com.br/lote/detalhe/7553", "273")</f>
      </c>
      <c r="B241" s="4" t="s">
        <f>=HYPERLINK("https://rossileiloes.com.br/lote/detalhe/7553", " Refrigerador Elgin 110-220V 60HZ- 1-Pç LOCAL: UJU")</f>
      </c>
      <c r="C241" s="4" t="inlineStr">
        <is>
          <t>Não vendido</t>
        </is>
      </c>
      <c r="D241" s="4" t="inlineStr">
        <is>
          <t>2</t>
        </is>
      </c>
      <c r="E241" s="5" t="inlineStr">
        <is>
          <t>200,00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=HYPERLINK("https://rossileiloes.com.br/lote/detalhe/7555", "274")</f>
      </c>
      <c r="B242" s="4" t="s">
        <f>=HYPERLINK("https://rossileiloes.com.br/lote/detalhe/7555", " Suporte Barramento, Isolador, Tipo disco, Para Montagem em painel Classe 13,8KV. - 54 Pçs.;   Isolador tipo pedestal, classe 13,8KV - 79 Pçs.;  Tps - Classe 13,8KV - 10 Pçs.;  Tcs - Classe 13,8KV - 6 Pçs.   E   Para-raio Classe 13,8KV - 3 Pçs. LOCAL: UJU")</f>
      </c>
      <c r="C242" s="4" t="inlineStr">
        <is>
          <t>Vendido</t>
        </is>
      </c>
      <c r="D242" s="4" t="inlineStr">
        <is>
          <t>2</t>
        </is>
      </c>
      <c r="E242" s="5" t="inlineStr">
        <is>
          <t>400,00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=HYPERLINK("https://rossileiloes.com.br/lote/detalhe/7557", "275")</f>
      </c>
      <c r="B243" s="4" t="s">
        <f>=HYPERLINK("https://rossileiloes.com.br/lote/detalhe/7557", " Hilo Hidráulico N° 02 Motocana GL20 – HL 001  Com Motor Mod. Spomn  116LDME1502 WEG e 2 Pistão Hidráulico do Hilo LOCAL: UJU")</f>
      </c>
      <c r="C243" s="4" t="inlineStr">
        <is>
          <t>Vendido</t>
        </is>
      </c>
      <c r="D243" s="4" t="inlineStr">
        <is>
          <t>29</t>
        </is>
      </c>
      <c r="E243" s="5" t="inlineStr">
        <is>
          <t>9.500,00</t>
        </is>
      </c>
      <c r="F243" s="4" t="inlineStr">
        <is>
          <t>250.00</t>
        </is>
      </c>
    </row>
    <row collapsed="false" customFormat="false" customHeight="false" hidden="false" ht="12.1" outlineLevel="0" r="244">
      <c r="A244" s="5" t="s">
        <f>=HYPERLINK("https://rossileiloes.com.br/lote/detalhe/7556", "276")</f>
      </c>
      <c r="B244" s="4" t="s">
        <f>=HYPERLINK("https://rossileiloes.com.br/lote/detalhe/7556", " Garra Hidráulica Motocana GH 8,5 T – N°01 - 1-Pç. LOCAL: UJU")</f>
      </c>
      <c r="C244" s="4" t="inlineStr">
        <is>
          <t>Vendido</t>
        </is>
      </c>
      <c r="D244" s="4" t="inlineStr">
        <is>
          <t>16</t>
        </is>
      </c>
      <c r="E244" s="5" t="inlineStr">
        <is>
          <t>5.250,00</t>
        </is>
      </c>
      <c r="F244" s="4" t="inlineStr">
        <is>
          <t>250.00</t>
        </is>
      </c>
    </row>
    <row collapsed="false" customFormat="false" customHeight="false" hidden="false" ht="12.1" outlineLevel="0" r="245">
      <c r="A245" s="5" t="s">
        <f>=HYPERLINK("https://rossileiloes.com.br/lote/detalhe/7558", "277")</f>
      </c>
      <c r="B245" s="4" t="s">
        <f>=HYPERLINK("https://rossileiloes.com.br/lote/detalhe/7558", " Garra Hidráulica Motocana GH 8,5 T – N°02 - 1-Pç. LOCAL: UJU")</f>
      </c>
      <c r="C245" s="4" t="inlineStr">
        <is>
          <t>Vendido</t>
        </is>
      </c>
      <c r="D245" s="4" t="inlineStr">
        <is>
          <t>13</t>
        </is>
      </c>
      <c r="E245" s="5" t="inlineStr">
        <is>
          <t>4.500,00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=HYPERLINK("https://rossileiloes.com.br/lote/detalhe/7559", "279")</f>
      </c>
      <c r="B246" s="4" t="s">
        <f>=HYPERLINK("https://rossileiloes.com.br/lote/detalhe/7559", " Reservatorio de ar comp. Marca Chiaperini Mod. RCH-150L - Patr. 713254 - 1-Pç. LOCAL: UJU")</f>
      </c>
      <c r="C246" s="4" t="inlineStr">
        <is>
          <t>Vendido</t>
        </is>
      </c>
      <c r="D246" s="4" t="inlineStr">
        <is>
          <t>9</t>
        </is>
      </c>
      <c r="E246" s="5" t="inlineStr">
        <is>
          <t>1.300,00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=HYPERLINK("https://rossileiloes.com.br/lote/detalhe/7561", "280")</f>
      </c>
      <c r="B247" s="4" t="s">
        <f>=HYPERLINK("https://rossileiloes.com.br/lote/detalhe/7561", " Unidade Hidraulica P/Prensa - C/ 1- Motor Bba 1,5CV 4 polos, 1- Motor Bba 3CV 4 Polos, 1- Bba de oleo e Caixa Reservatorio de oleo. LOCAL: UJU")</f>
      </c>
      <c r="C247" s="4" t="inlineStr">
        <is>
          <t>Vendido</t>
        </is>
      </c>
      <c r="D247" s="4" t="inlineStr">
        <is>
          <t>4</t>
        </is>
      </c>
      <c r="E247" s="5" t="inlineStr">
        <is>
          <t>600,00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=HYPERLINK("https://rossileiloes.com.br/lote/detalhe/7560", "282")</f>
      </c>
      <c r="B248" s="4" t="s">
        <f>=HYPERLINK("https://rossileiloes.com.br/lote/detalhe/7560", " PENTES,  LUVAS,  INSERTOS, ETC. CONF. RELAÇÃO 282  ANEXO.  LOCAL: UJU")</f>
      </c>
      <c r="C248" s="4" t="inlineStr">
        <is>
          <t>Vendido</t>
        </is>
      </c>
      <c r="D248" s="4" t="inlineStr">
        <is>
          <t>26</t>
        </is>
      </c>
      <c r="E248" s="5" t="inlineStr">
        <is>
          <t>9.750,00</t>
        </is>
      </c>
      <c r="F248" s="4" t="inlineStr">
        <is>
          <t>250.00</t>
        </is>
      </c>
    </row>
    <row collapsed="false" customFormat="false" customHeight="false" hidden="false" ht="12.1" outlineLevel="0" r="249">
      <c r="A249" s="5" t="s">
        <f>=HYPERLINK("https://rossileiloes.com.br/lote/detalhe/7565", "283")</f>
      </c>
      <c r="B249" s="4" t="s">
        <f>=HYPERLINK("https://rossileiloes.com.br/lote/detalhe/7565", " PNEUS 03  REFORMADOS DIVS. SENDO:      PNEU REFORMADO 18.4-38 - 1 PÇ.;    PNEU REFORMADO 14 00 24 L2 - 1 PÇ.  E  PNEU REFORMADO 1600X24 - 1 PÇ. LOCAL: UJU")</f>
      </c>
      <c r="C249" s="4" t="inlineStr">
        <is>
          <t>Não vendido</t>
        </is>
      </c>
      <c r="D249" s="4" t="inlineStr">
        <is>
          <t>32</t>
        </is>
      </c>
      <c r="E249" s="5" t="inlineStr">
        <is>
          <t>3.400,00</t>
        </is>
      </c>
      <c r="F249" s="4" t="inlineStr">
        <is>
          <t>100.00</t>
        </is>
      </c>
    </row>
    <row collapsed="false" customFormat="false" customHeight="false" hidden="false" ht="12.1" outlineLevel="0" r="250">
      <c r="A250" s="5" t="s">
        <f>=HYPERLINK("https://rossileiloes.com.br/lote/detalhe/7562", "284")</f>
      </c>
      <c r="B250" s="4" t="s">
        <f>=HYPERLINK("https://rossileiloes.com.br/lote/detalhe/7562", " 02 REDUTORES E 01 ROTOR SENDO:  Redutor Geremia RE-0405 Modelo GD-60 - Patr. 16207 - 1 PÇ.;   Redutor Cestari RE-0200 Modelo ht-60/15-1:45 - Patr. 16207 - 1 PÇ.  E  Rotor para Bomba NETZSCH NE-120 - 2 PÇS. LOCAL: UJU")</f>
      </c>
      <c r="C250" s="4" t="inlineStr">
        <is>
          <t>Vendido</t>
        </is>
      </c>
      <c r="D250" s="4" t="inlineStr">
        <is>
          <t>74</t>
        </is>
      </c>
      <c r="E250" s="5" t="inlineStr">
        <is>
          <t>8.400,00</t>
        </is>
      </c>
      <c r="F250" s="4" t="inlineStr">
        <is>
          <t>100.00</t>
        </is>
      </c>
    </row>
    <row collapsed="false" customFormat="false" customHeight="false" hidden="false" ht="12.1" outlineLevel="0" r="251">
      <c r="A251" s="5" t="s">
        <f>=HYPERLINK("https://rossileiloes.com.br/lote/detalhe/7564", "286")</f>
      </c>
      <c r="B251" s="4" t="s">
        <f>=HYPERLINK("https://rossileiloes.com.br/lote/detalhe/7564", " Grade Leve Tatu Marchesan Mod. 941 - Ano 1998 S/SERIE LOCAL: UJU. Patrim. 50567")</f>
      </c>
      <c r="C251" s="4" t="inlineStr">
        <is>
          <t>Vendido</t>
        </is>
      </c>
      <c r="D251" s="4" t="inlineStr">
        <is>
          <t>33</t>
        </is>
      </c>
      <c r="E251" s="5" t="inlineStr">
        <is>
          <t>12.250,00</t>
        </is>
      </c>
      <c r="F251" s="4" t="inlineStr">
        <is>
          <t>250.00</t>
        </is>
      </c>
    </row>
    <row collapsed="false" customFormat="false" customHeight="false" hidden="false" ht="12.1" outlineLevel="0" r="252">
      <c r="A252" s="5" t="s">
        <f>=HYPERLINK("https://rossileiloes.com.br/lote/detalhe/7563", "287")</f>
      </c>
      <c r="B252" s="4" t="s">
        <f>=HYPERLINK("https://rossileiloes.com.br/lote/detalhe/7563", " Grade Leve Tatu Marchesan Mod. 941 - Ano 2002 SERIE: 5185 LOCAL: UJU Patrim. 50672")</f>
      </c>
      <c r="C252" s="4" t="inlineStr">
        <is>
          <t>Vendido</t>
        </is>
      </c>
      <c r="D252" s="4" t="inlineStr">
        <is>
          <t>1</t>
        </is>
      </c>
      <c r="E252" s="5" t="inlineStr">
        <is>
          <t>4.250,00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=HYPERLINK("https://rossileiloes.com.br/lote/detalhe/7594", "288")</f>
      </c>
      <c r="B253" s="4" t="s">
        <f>=HYPERLINK("https://rossileiloes.com.br/lote/detalhe/7594", "Rodas 1100 X 22 - 50 Pçs. - LOCAL: UJU")</f>
      </c>
      <c r="C253" s="4" t="inlineStr">
        <is>
          <t>Vendido</t>
        </is>
      </c>
      <c r="D253" s="4" t="inlineStr">
        <is>
          <t>1</t>
        </is>
      </c>
      <c r="E253" s="5" t="inlineStr">
        <is>
          <t>2.000,00</t>
        </is>
      </c>
      <c r="F253" s="4" t="inlineStr">
        <is>
          <t>250.00</t>
        </is>
      </c>
    </row>
    <row collapsed="false" customFormat="false" customHeight="false" hidden="false" ht="12.1" outlineLevel="0" r="254">
      <c r="A254" s="5" t="s">
        <f>=HYPERLINK("https://rossileiloes.com.br/lote/detalhe/7595", "289")</f>
      </c>
      <c r="B254" s="4" t="s">
        <f>=HYPERLINK("https://rossileiloes.com.br/lote/detalhe/7595", "Compressor de ar Schulz Mod. SRP-3100 - Patr. 440104 - 1 Pç. - LOCAL : UJU")</f>
      </c>
      <c r="C254" s="4" t="inlineStr">
        <is>
          <t>Vendido</t>
        </is>
      </c>
      <c r="D254" s="4" t="inlineStr">
        <is>
          <t>52</t>
        </is>
      </c>
      <c r="E254" s="5" t="inlineStr">
        <is>
          <t>14.250,00</t>
        </is>
      </c>
      <c r="F25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2026-06-07T04:26:03.00Z</dcterms:created>
  <dc:creator>Tellks Tecnologia</dc:creator>
  <cp:revision>0</cp:revision>
</cp:coreProperties>
</file>